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qk4EkgKlVvJYlz+CAR8PUTu340Hc7mhP+H61HGIPpt2DZuYEEfZjgdq7QXW6Tg5ooVxoCUlXwRWtWAUZcFlMkw==" workbookSaltValue="8v3JL1NnSmPHYB/Bn6CT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F17" i="17"/>
  <c r="AQ17" i="17" s="1"/>
  <c r="M13" i="2"/>
  <c r="AO12" i="11"/>
  <c r="AC10" i="11"/>
  <c r="H13" i="12"/>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AY18" i="8"/>
  <c r="AJ19" i="8"/>
  <c r="B16" i="6"/>
  <c r="E18" i="12"/>
  <c r="T19" i="8"/>
  <c r="AW18" i="21"/>
  <c r="Z13" i="17"/>
  <c r="AO12" i="17"/>
  <c r="L12" i="14"/>
  <c r="BD12" i="8"/>
  <c r="H12" i="7" s="1"/>
  <c r="AB19" i="8"/>
  <c r="Z19" i="8"/>
  <c r="BG10" i="8"/>
  <c r="C19" i="3"/>
  <c r="AL11" i="11"/>
  <c r="AO16" i="11"/>
  <c r="AO16" i="17"/>
  <c r="F9" i="2"/>
  <c r="H12" i="2"/>
  <c r="M18" i="2"/>
  <c r="M19" i="2" s="1"/>
  <c r="N18" i="2"/>
  <c r="N19" i="2" s="1"/>
  <c r="B9" i="6"/>
  <c r="E11" i="6"/>
  <c r="F15" i="17"/>
  <c r="V10" i="21"/>
  <c r="V13" i="21" s="1"/>
  <c r="V19" i="21" s="1"/>
  <c r="C10" i="6"/>
  <c r="BE15" i="13"/>
  <c r="BA18" i="13"/>
  <c r="BD18" i="13" s="1"/>
  <c r="BG15" i="8"/>
  <c r="K15" i="7" s="1"/>
  <c r="AO17" i="11"/>
  <c r="E15" i="6"/>
  <c r="K15" i="12" s="1"/>
  <c r="BD15" i="8"/>
  <c r="H15" i="7" s="1"/>
  <c r="BE15" i="8"/>
  <c r="I15" i="7" s="1"/>
  <c r="BG16" i="8"/>
  <c r="E18" i="2"/>
  <c r="F18" i="2" s="1"/>
  <c r="AL15" i="11"/>
  <c r="L16" i="14"/>
  <c r="F15" i="11"/>
  <c r="F16" i="17"/>
  <c r="F18" i="17" s="1"/>
  <c r="E9" i="6"/>
  <c r="K9" i="12" s="1"/>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BE13" i="8"/>
  <c r="AL18" i="11"/>
  <c r="V19" i="20"/>
  <c r="F18" i="11"/>
  <c r="Y13" i="11"/>
  <c r="B18" i="6"/>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<sst xmlns="http://schemas.openxmlformats.org/spreadsheetml/2006/main" count="2102" uniqueCount="918">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</sst>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2pfgIZgwOriA3pVpa5nW2gWs4tChzaFLzAErJ92Zb9qMfpSNMI0qMYt9fPbwaaldF1c75XQecXHFpDS4TMnfw==" saltValue="/CFJlsZ/bwvFBIfJduwV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42.486238532110093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160</v>
      </c>
      <c r="D16" s="224">
        <f>IF(ISNUMBER(IF(D_I="SI",Datos!I16,Datos!I16+Datos!AC16)),IF(D_I="SI",Datos!I16,Datos!I16+Datos!AC16)," - ")</f>
        <v>160</v>
      </c>
      <c r="E16" s="225">
        <f>IF(ISNUMBER(IF(D_I="SI",Datos!J16,Datos!J16+Datos!AD16)),IF(D_I="SI",Datos!J16,Datos!J16+Datos!AD16)," - ")</f>
        <v>172</v>
      </c>
      <c r="F16" s="225">
        <f>IF(ISNUMBER(IF(D_I="SI",Datos!K16,Datos!K16+Datos!AE16)),IF(D_I="SI",Datos!K16,Datos!K16+Datos!AE16)," - ")</f>
        <v>153</v>
      </c>
      <c r="G16" s="1033" t="str">
        <f>IF(Datos!E16&lt;&gt;"",Datos!E16,Datos!D16)</f>
        <v>04</v>
      </c>
      <c r="H16" s="226">
        <f>IF(ISNUMBER(IF(D_I="SI",Datos!L16,Datos!L16+Datos!AF16)),IF(D_I="SI",Datos!L16,Datos!L16+Datos!AF16)," - ")</f>
        <v>179</v>
      </c>
      <c r="I16" s="1043" t="str">
        <f>IF(ISNUMBER(Datos!AS16/Datos!BM16),Datos!AS16/Datos!BM16," - ")</f>
        <v xml:space="preserve"> - </v>
      </c>
      <c r="J16" s="1044">
        <f>IF(ISNUMBER(Datos!BY16/Datos!CN16),Datos!BY16/Datos!CN16," - ")</f>
        <v>0</v>
      </c>
      <c r="K16" s="229">
        <f t="shared" si="3"/>
        <v>0.11874999999999999</v>
      </c>
      <c r="L16" s="1024">
        <f>IF(ISNUMBER(NºAsuntos!I16/NºAsuntos!G16),(NºAsuntos!I16/NºAsuntos!G16)*11," - ")</f>
        <v>12.869281045751634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28</v>
      </c>
      <c r="F17" s="225">
        <f>IF(ISNUMBER(IF(D_I="SI",Datos!K17,Datos!K17+Datos!AE17)),IF(D_I="SI",Datos!K17,Datos!K17+Datos!AE17)," - ")</f>
        <v>17</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0.84615384615384615</v>
      </c>
      <c r="L17" s="1024">
        <f>IF(ISNUMBER(NºAsuntos!I17/NºAsuntos!G17),(NºAsuntos!I17/NºAsuntos!G17)*11," - ")</f>
        <v>15.529411764705884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173</v>
      </c>
      <c r="D18" s="1048">
        <f>SUBTOTAL(9,D15:D17)</f>
        <v>173</v>
      </c>
      <c r="E18" s="1049">
        <f>SUBTOTAL(9,E15:E17)</f>
        <v>200</v>
      </c>
      <c r="F18" s="1049">
        <f>SUBTOTAL(9,F15:F17)</f>
        <v>170</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173</v>
      </c>
      <c r="D19" s="1070">
        <f>SUBTOTAL(9,D9:D18)</f>
        <v>173</v>
      </c>
      <c r="E19" s="1071">
        <f>SUBTOTAL(9,E9:E18)</f>
        <v>200</v>
      </c>
      <c r="F19" s="1071">
        <f>SUBTOTAL(9,F9:F18)</f>
        <v>170</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4LGmKv661R/3UbcQ67fCTmJ7vBG4myxZP6QPMbvnRqfOUgrX8QrKs/X3Jh+tpiD5SZ9/UgwogomLX1ge833ig==" saltValue="SLPaq/RuIJIH0J7RP7dm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S8Xz8/bQwlPl1eYV2Ruuv0H06kCBVFd8tIkoEksEx1klxGbeAEPJ5YQv5nLW4kbtu7L0Ys9GnkSwSVSZVSfmg==" saltValue="zeib20tQQfdjI0GUB54P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860</v>
      </c>
      <c r="J12" s="182">
        <v>112</v>
      </c>
      <c r="K12" s="182">
        <v>191</v>
      </c>
      <c r="L12" s="182">
        <v>781</v>
      </c>
      <c r="M12" s="182">
        <v>64</v>
      </c>
      <c r="N12" s="182">
        <v>131</v>
      </c>
      <c r="O12" s="180">
        <v>38</v>
      </c>
      <c r="P12" s="182">
        <v>66</v>
      </c>
      <c r="Q12" s="182">
        <v>6</v>
      </c>
      <c r="R12" s="182">
        <v>1098</v>
      </c>
      <c r="S12" s="182">
        <v>856</v>
      </c>
      <c r="T12" s="182">
        <v>249</v>
      </c>
      <c r="U12" s="182">
        <v>268</v>
      </c>
      <c r="V12" s="182">
        <v>771</v>
      </c>
      <c r="W12" s="182">
        <v>154</v>
      </c>
      <c r="X12" s="188">
        <v>69</v>
      </c>
      <c r="Y12" s="190">
        <v>45</v>
      </c>
      <c r="Z12" s="180">
        <v>43</v>
      </c>
      <c r="AA12" s="180">
        <v>27</v>
      </c>
      <c r="AB12" s="180">
        <v>61</v>
      </c>
      <c r="AC12" s="182">
        <v>0</v>
      </c>
      <c r="AD12" s="182">
        <v>0</v>
      </c>
      <c r="AE12" s="182">
        <v>0</v>
      </c>
      <c r="AF12" s="188">
        <v>0</v>
      </c>
      <c r="AG12" s="201">
        <v>28</v>
      </c>
      <c r="AH12" s="182">
        <v>13</v>
      </c>
      <c r="AI12" s="182">
        <v>19</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884</v>
      </c>
      <c r="AZ12" s="127">
        <f t="shared" si="1"/>
        <v>262</v>
      </c>
      <c r="BA12" s="127">
        <f t="shared" si="1"/>
        <v>287</v>
      </c>
      <c r="BB12" s="127">
        <f t="shared" si="1"/>
        <v>793</v>
      </c>
      <c r="BC12" s="125">
        <f>IF(ISNUMBER(X12),X12," - ")</f>
        <v>69</v>
      </c>
      <c r="BD12" s="126">
        <f t="shared" si="2"/>
        <v>1.0954198473282444</v>
      </c>
      <c r="BE12" s="127">
        <f t="shared" si="3"/>
        <v>2.7630662020905925</v>
      </c>
      <c r="BF12" s="127">
        <f t="shared" si="4"/>
        <v>0.24041811846689895</v>
      </c>
      <c r="BG12" s="195">
        <f t="shared" si="5"/>
        <v>3.9930313588850175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860</v>
      </c>
      <c r="J13" s="183">
        <f t="shared" si="6"/>
        <v>112</v>
      </c>
      <c r="K13" s="183">
        <f t="shared" si="6"/>
        <v>191</v>
      </c>
      <c r="L13" s="183">
        <f t="shared" si="6"/>
        <v>781</v>
      </c>
      <c r="M13" s="183">
        <f t="shared" si="6"/>
        <v>64</v>
      </c>
      <c r="N13" s="183">
        <f t="shared" si="6"/>
        <v>131</v>
      </c>
      <c r="O13" s="183">
        <f t="shared" si="6"/>
        <v>38</v>
      </c>
      <c r="P13" s="183">
        <f t="shared" si="6"/>
        <v>66</v>
      </c>
      <c r="Q13" s="183">
        <f t="shared" si="6"/>
        <v>6</v>
      </c>
      <c r="R13" s="183">
        <f t="shared" si="6"/>
        <v>1098</v>
      </c>
      <c r="S13" s="183">
        <f t="shared" si="6"/>
        <v>856</v>
      </c>
      <c r="T13" s="183">
        <f t="shared" si="6"/>
        <v>249</v>
      </c>
      <c r="U13" s="183">
        <f t="shared" si="6"/>
        <v>268</v>
      </c>
      <c r="V13" s="183">
        <f t="shared" si="6"/>
        <v>771</v>
      </c>
      <c r="W13" s="183">
        <f t="shared" si="6"/>
        <v>154</v>
      </c>
      <c r="X13" s="183">
        <f t="shared" si="6"/>
        <v>69</v>
      </c>
      <c r="Y13" s="183">
        <f t="shared" si="6"/>
        <v>45</v>
      </c>
      <c r="Z13" s="183">
        <f t="shared" si="6"/>
        <v>43</v>
      </c>
      <c r="AA13" s="183">
        <f t="shared" si="6"/>
        <v>27</v>
      </c>
      <c r="AB13" s="183">
        <f t="shared" si="6"/>
        <v>61</v>
      </c>
      <c r="AC13" s="183">
        <f t="shared" si="6"/>
        <v>0</v>
      </c>
      <c r="AD13" s="183">
        <f t="shared" si="6"/>
        <v>0</v>
      </c>
      <c r="AE13" s="183">
        <f t="shared" si="6"/>
        <v>0</v>
      </c>
      <c r="AF13" s="183">
        <f>SUBTOTAL(9,AF9:AF12)</f>
        <v>0</v>
      </c>
      <c r="AG13" s="183">
        <f t="shared" ref="AG13:AT13" si="7">SUBTOTAL(9,AG8:AG12)</f>
        <v>28</v>
      </c>
      <c r="AH13" s="183">
        <f t="shared" si="7"/>
        <v>13</v>
      </c>
      <c r="AI13" s="183">
        <f t="shared" si="7"/>
        <v>19</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884</v>
      </c>
      <c r="AZ13" s="183">
        <f>SUBTOTAL(9,AZ8:AZ12)</f>
        <v>262</v>
      </c>
      <c r="BA13" s="183">
        <f>SUBTOTAL(9,BA8:BA12)</f>
        <v>287</v>
      </c>
      <c r="BB13" s="183">
        <f>SUBTOTAL(9,BB8:BB12)</f>
        <v>793</v>
      </c>
      <c r="BC13" s="183">
        <f>SUBTOTAL(9,BC8:BC12)</f>
        <v>69</v>
      </c>
      <c r="BD13" s="204">
        <f>IF(ISNUMBER(BA13/AZ13),BA13/AZ13," - ")</f>
        <v>1.0954198473282444</v>
      </c>
      <c r="BE13" s="205">
        <f>IF(ISNUMBER(BB13/BA13),BB13/BA13, " - ")</f>
        <v>2.7630662020905925</v>
      </c>
      <c r="BF13" s="205">
        <f>IF(ISNUMBER(BC13/BA13),BC13/BA13, " - ")</f>
        <v>0.24041811846689895</v>
      </c>
      <c r="BG13" s="206">
        <f>IF(ISNUMBER((AY13+AZ13)/BA13),(AY13+AZ13)/BA13," - ")</f>
        <v>3.9930313588850175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160</v>
      </c>
      <c r="J16" s="182">
        <v>172</v>
      </c>
      <c r="K16" s="182">
        <v>153</v>
      </c>
      <c r="L16" s="182">
        <v>179</v>
      </c>
      <c r="M16" s="182">
        <v>22</v>
      </c>
      <c r="N16" s="182">
        <v>101</v>
      </c>
      <c r="O16" s="180">
        <v>1</v>
      </c>
      <c r="P16" s="182">
        <v>3</v>
      </c>
      <c r="Q16" s="182">
        <v>2</v>
      </c>
      <c r="R16" s="182">
        <v>26</v>
      </c>
      <c r="S16" s="182">
        <v>207</v>
      </c>
      <c r="T16" s="182">
        <v>167</v>
      </c>
      <c r="U16" s="182">
        <v>155</v>
      </c>
      <c r="V16" s="182">
        <v>182</v>
      </c>
      <c r="W16" s="182">
        <v>35</v>
      </c>
      <c r="X16" s="188">
        <v>82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207</v>
      </c>
      <c r="AZ16" s="127">
        <f t="shared" si="9"/>
        <v>167</v>
      </c>
      <c r="BA16" s="127">
        <f t="shared" si="9"/>
        <v>155</v>
      </c>
      <c r="BB16" s="127">
        <f t="shared" si="9"/>
        <v>182</v>
      </c>
      <c r="BC16" s="125">
        <f>IF(ISNUMBER(W16),W16," - ")</f>
        <v>35</v>
      </c>
      <c r="BD16" s="126">
        <f t="shared" ref="BD16" si="11">IF(ISNUMBER(BA16/AZ16),BA16/AZ16," - ")</f>
        <v>0.92814371257485029</v>
      </c>
      <c r="BE16" s="127">
        <f t="shared" ref="BE16" si="12">IF(ISNUMBER(BB16/BA16),BB16/BA16, " - ")</f>
        <v>1.1741935483870967</v>
      </c>
      <c r="BF16" s="127">
        <f t="shared" ref="BF16" si="13">IF(ISNUMBER(BC16/BA16),BC16/BA16, " - ")</f>
        <v>0.22580645161290322</v>
      </c>
      <c r="BG16" s="195">
        <f t="shared" si="10"/>
        <v>2.4129032258064518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28</v>
      </c>
      <c r="K17" s="182">
        <v>17</v>
      </c>
      <c r="L17" s="182">
        <v>24</v>
      </c>
      <c r="M17" s="182">
        <v>0</v>
      </c>
      <c r="N17" s="182">
        <v>11</v>
      </c>
      <c r="O17" s="182">
        <v>0</v>
      </c>
      <c r="P17" s="182">
        <v>0</v>
      </c>
      <c r="Q17" s="182">
        <v>0</v>
      </c>
      <c r="R17" s="182">
        <v>0</v>
      </c>
      <c r="S17" s="182">
        <v>5</v>
      </c>
      <c r="T17" s="182">
        <v>15</v>
      </c>
      <c r="U17" s="182">
        <v>12</v>
      </c>
      <c r="V17" s="182">
        <v>7</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15</v>
      </c>
      <c r="BA17" s="129">
        <f t="shared" si="14"/>
        <v>12</v>
      </c>
      <c r="BB17" s="129">
        <f t="shared" si="14"/>
        <v>7</v>
      </c>
      <c r="BC17" s="125">
        <f>IF(ISNUMBER(W17),W17," - ")</f>
        <v>0</v>
      </c>
      <c r="BD17" s="126">
        <f>IF(ISNUMBER(BA17/AZ17),BA17/AZ17," - ")</f>
        <v>0.8</v>
      </c>
      <c r="BE17" s="127">
        <f>IF(ISNUMBER(BB17/BA17),BB17/BA17, " - ")</f>
        <v>0.58333333333333337</v>
      </c>
      <c r="BF17" s="127">
        <f>IF(ISNUMBER(BC17/BA17),BC17/BA17, " - ")</f>
        <v>0</v>
      </c>
      <c r="BG17" s="195">
        <f>IF(ISNUMBER((AY17+AZ17)/BA17),(AY17+AZ17)/BA17," - ")</f>
        <v>1.6666666666666667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173</v>
      </c>
      <c r="J18" s="183">
        <f t="shared" si="15"/>
        <v>200</v>
      </c>
      <c r="K18" s="183">
        <f t="shared" si="15"/>
        <v>170</v>
      </c>
      <c r="L18" s="183">
        <f t="shared" si="15"/>
        <v>203</v>
      </c>
      <c r="M18" s="183">
        <f t="shared" si="15"/>
        <v>22</v>
      </c>
      <c r="N18" s="183">
        <f t="shared" si="15"/>
        <v>112</v>
      </c>
      <c r="O18" s="183">
        <f t="shared" si="15"/>
        <v>1</v>
      </c>
      <c r="P18" s="183">
        <f t="shared" si="15"/>
        <v>3</v>
      </c>
      <c r="Q18" s="183">
        <f t="shared" si="15"/>
        <v>2</v>
      </c>
      <c r="R18" s="183">
        <f t="shared" si="15"/>
        <v>26</v>
      </c>
      <c r="S18" s="183">
        <f t="shared" si="15"/>
        <v>212</v>
      </c>
      <c r="T18" s="183">
        <f t="shared" si="15"/>
        <v>182</v>
      </c>
      <c r="U18" s="183">
        <f t="shared" si="15"/>
        <v>167</v>
      </c>
      <c r="V18" s="183">
        <f t="shared" si="15"/>
        <v>189</v>
      </c>
      <c r="W18" s="183">
        <f t="shared" si="15"/>
        <v>35</v>
      </c>
      <c r="X18" s="183">
        <f t="shared" si="15"/>
        <v>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212</v>
      </c>
      <c r="AZ18" s="183">
        <f>SUBTOTAL(9,AZ14:AZ17)</f>
        <v>182</v>
      </c>
      <c r="BA18" s="183">
        <f>SUBTOTAL(9,BA14:BA17)</f>
        <v>167</v>
      </c>
      <c r="BB18" s="183">
        <f>SUBTOTAL(9,BB14:BB17)</f>
        <v>189</v>
      </c>
      <c r="BC18" s="183">
        <f>SUBTOTAL(9,BC14:BC17)</f>
        <v>35</v>
      </c>
      <c r="BD18" s="204">
        <f>IF(ISNUMBER(BA18/AZ18),BA18/AZ18," - ")</f>
        <v>0.91758241758241754</v>
      </c>
      <c r="BE18" s="205">
        <f>IF(ISNUMBER(BB18/BA18),BB18/BA18, " - ")</f>
        <v>1.1317365269461077</v>
      </c>
      <c r="BF18" s="205">
        <f>IF(ISNUMBER(BC18/BA18),BC18/BA18, " - ")</f>
        <v>0.20958083832335328</v>
      </c>
      <c r="BG18" s="206">
        <f>IF(ISNUMBER((AY18+AZ18)/BA18),(AY18+AZ18)/BA18," - ")</f>
        <v>2.3592814371257487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1033</v>
      </c>
      <c r="J19" s="134">
        <f t="shared" si="18"/>
        <v>312</v>
      </c>
      <c r="K19" s="134">
        <f t="shared" si="18"/>
        <v>361</v>
      </c>
      <c r="L19" s="134">
        <f t="shared" si="18"/>
        <v>984</v>
      </c>
      <c r="M19" s="134">
        <f t="shared" si="18"/>
        <v>86</v>
      </c>
      <c r="N19" s="134">
        <f t="shared" si="18"/>
        <v>243</v>
      </c>
      <c r="O19" s="134">
        <f t="shared" si="18"/>
        <v>39</v>
      </c>
      <c r="P19" s="134">
        <f t="shared" si="18"/>
        <v>69</v>
      </c>
      <c r="Q19" s="134">
        <f t="shared" si="18"/>
        <v>8</v>
      </c>
      <c r="R19" s="134">
        <f t="shared" si="18"/>
        <v>1124</v>
      </c>
      <c r="S19" s="134">
        <f t="shared" si="18"/>
        <v>1068</v>
      </c>
      <c r="T19" s="134">
        <f t="shared" si="18"/>
        <v>431</v>
      </c>
      <c r="U19" s="134">
        <f t="shared" si="18"/>
        <v>435</v>
      </c>
      <c r="V19" s="134">
        <f t="shared" si="18"/>
        <v>960</v>
      </c>
      <c r="W19" s="134">
        <f t="shared" si="18"/>
        <v>189</v>
      </c>
      <c r="X19" s="134">
        <f t="shared" si="18"/>
        <v>163</v>
      </c>
      <c r="Y19" s="134">
        <f t="shared" si="18"/>
        <v>45</v>
      </c>
      <c r="Z19" s="134">
        <f t="shared" si="18"/>
        <v>43</v>
      </c>
      <c r="AA19" s="134">
        <f t="shared" si="18"/>
        <v>27</v>
      </c>
      <c r="AB19" s="134">
        <f t="shared" si="18"/>
        <v>61</v>
      </c>
      <c r="AC19" s="134">
        <f t="shared" si="18"/>
        <v>0</v>
      </c>
      <c r="AD19" s="134">
        <f t="shared" si="18"/>
        <v>0</v>
      </c>
      <c r="AE19" s="134">
        <f t="shared" si="18"/>
        <v>0</v>
      </c>
      <c r="AF19" s="134">
        <f t="shared" si="18"/>
        <v>0</v>
      </c>
      <c r="AG19" s="134">
        <f t="shared" si="18"/>
        <v>28</v>
      </c>
      <c r="AH19" s="134">
        <f t="shared" si="18"/>
        <v>13</v>
      </c>
      <c r="AI19" s="134">
        <f t="shared" si="18"/>
        <v>19</v>
      </c>
      <c r="AJ19" s="134">
        <f t="shared" si="18"/>
        <v>22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1096</v>
      </c>
      <c r="AZ19" s="134">
        <f>SUBTOTAL(9,AZ9:AZ18)</f>
        <v>444</v>
      </c>
      <c r="BA19" s="134">
        <f>SUBTOTAL(9,BA9:BA18)</f>
        <v>454</v>
      </c>
      <c r="BB19" s="134">
        <f>SUBTOTAL(9,BB9:BB18)</f>
        <v>982</v>
      </c>
      <c r="BC19" s="135">
        <f>SUBTOTAL(9,BC9:BC18)</f>
        <v>104</v>
      </c>
      <c r="BD19" s="212">
        <f>IF(ISNUMBER(BA19/AZ19),BA19/AZ19," - ")</f>
        <v>1.0225225225225225</v>
      </c>
      <c r="BE19" s="209">
        <f>IF(ISNUMBER(BB19/BA19),BB19/BA19, " - ")</f>
        <v>2.1629955947136565</v>
      </c>
      <c r="BF19" s="209">
        <f>IF(ISNUMBER(BC19/BA19),BC19/BA19, " - ")</f>
        <v>0.22907488986784141</v>
      </c>
      <c r="BG19" s="135">
        <f>IF(ISNUMBER((AY19+AZ19)/BA19),(AY19+AZ19)/BA19," - ")</f>
        <v>3.392070484581498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fef6mYrmr6G86o3UuxDqAnfmiI2/KFPJAY8xwEz9bOqEiqkiOaVSOcOVwglD/u5svZhuZ4XshoHX8dy/k4fQ==" saltValue="ikMkWPSiQW3VbwOCxuSP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stKrOORxSIzYAX0iKCCBV2B0aahnZVyT6LeTB1rPgYK94poORdQDEJWrDVEq8MLLFy5KCJJBB5j4RyT9jSlA==" saltValue="aaGdoZkKDT9srmQmzags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61</v>
      </c>
      <c r="AI12" s="333" t="str">
        <f>IF(ISNUMBER(Datos!CD12),Datos!CD12,"-")</f>
        <v>-</v>
      </c>
      <c r="AJ12" s="333" t="str">
        <f>IF(ISNUMBER(Datos!EN12),Datos!EN12," - ")</f>
        <v xml:space="preserve"> - </v>
      </c>
      <c r="AK12" s="333"/>
      <c r="AL12" s="478"/>
      <c r="AM12" s="334">
        <f>IF(ISNUMBER(Datos!R12),Datos!R12," - ")</f>
        <v>1098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131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1.4064516129032258</v>
      </c>
      <c r="BH12" s="259">
        <f>IF(ISNUMBER(((IF(J_V="SI",Datos!L12/Datos!K12,(Datos!L12+Datos!AB12)/(Datos!K12+Datos!AA12)))*11)/factor_trimestre),((IF(J_V="SI",Datos!L12/Datos!K12,(Datos!L12+Datos!AB12)/(Datos!K12+Datos!AA12)))*11)/factor_trimestre," - ")</f>
        <v>7.7247706422018352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5.7803468208092484E-2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v>
      </c>
      <c r="AD13" s="898">
        <f t="shared" si="1"/>
        <v>0</v>
      </c>
      <c r="AE13" s="898">
        <f t="shared" si="1"/>
        <v>0</v>
      </c>
      <c r="AF13" s="898">
        <f t="shared" si="1"/>
        <v>0</v>
      </c>
      <c r="AG13" s="898">
        <f t="shared" si="1"/>
        <v>0</v>
      </c>
      <c r="AH13" s="898">
        <f t="shared" si="1"/>
        <v>61</v>
      </c>
      <c r="AI13" s="898">
        <f t="shared" si="1"/>
        <v>0</v>
      </c>
      <c r="AJ13" s="898">
        <f t="shared" si="1"/>
        <v>0</v>
      </c>
      <c r="AK13" s="898">
        <f t="shared" si="1"/>
        <v>0</v>
      </c>
      <c r="AL13" s="898">
        <f t="shared" si="1"/>
        <v>0</v>
      </c>
      <c r="AM13" s="898">
        <f t="shared" si="1"/>
        <v>1098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131</v>
      </c>
      <c r="BE13" s="898">
        <f t="shared" si="1"/>
        <v>0</v>
      </c>
      <c r="BF13" s="898">
        <f t="shared" si="1"/>
        <v>0</v>
      </c>
      <c r="BG13" s="898">
        <f>IF(ISNUMBER(Datos!K13/Datos!J13),Datos!K13/Datos!J13," - ")</f>
        <v>1.7053571428571428</v>
      </c>
      <c r="BH13" s="902">
        <f>IF(ISNUMBER(((Datos!L13/Datos!K13)*11)/factor_trimestre),((Datos!L13/Datos!K13)*11)/factor_trimestre," - ")</f>
        <v>8.178010471204189</v>
      </c>
      <c r="BI13" s="898">
        <f>IF(ISNUMBER('Resol  Asuntos'!D13/NºAsuntos!G13),'Resol  Asuntos'!D13/NºAsuntos!G13," - ")</f>
        <v>0.29357798165137616</v>
      </c>
      <c r="BJ13" s="898" t="str">
        <f>IF(ISNUMBER(Datos!CI13/Datos!CJ13),Datos!CI13/Datos!CJ13," - ")</f>
        <v xml:space="preserve"> - </v>
      </c>
      <c r="BK13" s="898">
        <f>SUBTOTAL(9,BK8:BK12)</f>
        <v>0</v>
      </c>
      <c r="BL13" s="898" t="str">
        <f>IF(ISNUMBER((I13-AB13+L13)/(F13)),(I13-AB13+L13)/(F13)," - ")</f>
        <v xml:space="preserve"> - </v>
      </c>
      <c r="BM13" s="903">
        <f>SUBTOTAL(9,BM9:BM12)</f>
        <v>5.7803468208092484E-2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160</v>
      </c>
      <c r="G16" s="597">
        <f>IF(ISNUMBER(IF(D_I="SI",Datos!I16,Datos!I16+Datos!AC16)),IF(D_I="SI",Datos!I16,Datos!I16+Datos!AC16)," - ")</f>
        <v>160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153</v>
      </c>
      <c r="AC16" s="225">
        <f>IF(ISNUMBER(Datos!Q16),Datos!Q16," - ")</f>
        <v>2</v>
      </c>
      <c r="AD16" s="333"/>
      <c r="AE16" s="483"/>
      <c r="AF16" s="595">
        <f>IF(ISNUMBER(IF(D_I="SI",Datos!L16,Datos!L16+Datos!AF16)),IF(D_I="SI",Datos!L16,Datos!L16+Datos!AF16)," - ")</f>
        <v>179</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101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0.88953488372093026</v>
      </c>
      <c r="BH16" s="259">
        <f>IF(ISNUMBER(((IF(D_I="SI",Datos!L16/Datos!K16,(Datos!L16+Datos!AF16)/(Datos!K16+Datos!AE16)))*11)/factor_trimestre),((IF(D_I="SI",Datos!L16/Datos!K16,(Datos!L16+Datos!AF16)/(Datos!K16+Datos!AE16)))*11)/factor_trimestre," - ")</f>
        <v>2.3398692810457518</v>
      </c>
      <c r="BI16" s="242">
        <f>IF(ISNUMBER('Resol  Asuntos'!D16/NºAsuntos!G16),'Resol  Asuntos'!D16/NºAsuntos!G16," - ")</f>
        <v>0.1437908496732026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24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0.6071428571428571</v>
      </c>
      <c r="BH17" s="259">
        <f>IF(ISNUMBER(((IF(D_I="SI",Datos!L17/Datos!K17,(Datos!L17+Datos!AF17)/(Datos!K17+Datos!AE17)))*11)/factor_trimestre),((IF(D_I="SI",Datos!L17/Datos!K17,(Datos!L17+Datos!AF17)/(Datos!K17+Datos!AE17)))*11)/factor_trimestre," - ")</f>
        <v>2.8235294117647061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160</v>
      </c>
      <c r="G18" s="897">
        <f>SUBTOTAL(9,G15:G17)</f>
        <v>173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170</v>
      </c>
      <c r="AC18" s="898">
        <f t="shared" si="4"/>
        <v>2</v>
      </c>
      <c r="AD18" s="898">
        <f t="shared" si="4"/>
        <v>0</v>
      </c>
      <c r="AE18" s="898">
        <f t="shared" si="4"/>
        <v>0</v>
      </c>
      <c r="AF18" s="898">
        <f t="shared" si="4"/>
        <v>203</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112</v>
      </c>
      <c r="BE18" s="898">
        <f t="shared" si="4"/>
        <v>0</v>
      </c>
      <c r="BF18" s="898">
        <f t="shared" si="4"/>
        <v>0</v>
      </c>
      <c r="BG18" s="898">
        <f>IF(ISNUMBER(Datos!K18/Datos!J18),Datos!K18/Datos!J18," - ")</f>
        <v>0.85</v>
      </c>
      <c r="BH18" s="902">
        <f>IF(ISNUMBER(((Datos!L18/Datos!K18)*11)/factor_trimestre),((Datos!L18/Datos!K18)*11)/factor_trimestre," - ")</f>
        <v>2.388235294117647</v>
      </c>
      <c r="BI18" s="898">
        <f>SUBTOTAL(9,BI15:BI17)</f>
        <v>0.1437908496732026</v>
      </c>
      <c r="BJ18" s="898">
        <f>SUBTOTAL(9,BJ15:BJ17)</f>
        <v>0</v>
      </c>
      <c r="BK18" s="898">
        <f>SUBTOTAL(9,BK15:BK17)</f>
        <v>0</v>
      </c>
      <c r="BL18" s="898">
        <f>IF(ISNUMBER((I18-AB18+L18)/(F18)),(I18-AB18+L18)/(F18)," - ")</f>
        <v>-1.0625</v>
      </c>
      <c r="BM18" s="904">
        <f>IF(ISNUMBER((Datos!P18-Datos!Q18)/(Datos!R18-Datos!P18+Datos!Q18)),(Datos!P18-Datos!Q18)/(Datos!R18-Datos!P18+Datos!Q18)," - ")</f>
        <v>0.04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160</v>
      </c>
      <c r="G19" s="819">
        <f t="shared" si="6"/>
        <v>173</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170</v>
      </c>
      <c r="AC19" s="820">
        <f t="shared" si="7"/>
        <v>8</v>
      </c>
      <c r="AD19" s="820">
        <f t="shared" si="7"/>
        <v>0</v>
      </c>
      <c r="AE19" s="820">
        <f t="shared" si="7"/>
        <v>0</v>
      </c>
      <c r="AF19" s="827">
        <f t="shared" si="7"/>
        <v>203</v>
      </c>
      <c r="AG19" s="827">
        <f t="shared" si="7"/>
        <v>0</v>
      </c>
      <c r="AH19" s="827">
        <f t="shared" si="7"/>
        <v>61</v>
      </c>
      <c r="AI19" s="827">
        <f t="shared" si="7"/>
        <v>0</v>
      </c>
      <c r="AJ19" s="820">
        <f t="shared" si="7"/>
        <v>0</v>
      </c>
      <c r="AK19" s="827">
        <f t="shared" si="7"/>
        <v>0</v>
      </c>
      <c r="AL19" s="827">
        <f t="shared" si="7"/>
        <v>0</v>
      </c>
      <c r="AM19" s="827">
        <f t="shared" si="7"/>
        <v>1124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v>
      </c>
      <c r="BD19" s="819">
        <f t="shared" si="7"/>
        <v>243</v>
      </c>
      <c r="BE19" s="819">
        <f t="shared" si="7"/>
        <v>0</v>
      </c>
      <c r="BF19" s="829">
        <f t="shared" si="7"/>
        <v>0</v>
      </c>
      <c r="BG19" s="914">
        <f>IF(ISNUMBER(Datos!K19/Datos!J19),Datos!K19/Datos!J19," - ")</f>
        <v>1.1570512820512822</v>
      </c>
      <c r="BH19" s="914">
        <f>IF(ISNUMBER(((Datos!L19/Datos!K19)*11)/factor_trimestre),((Datos!L19/Datos!K19)*11)/factor_trimestre," - ")</f>
        <v>5.4515235457063715</v>
      </c>
      <c r="BI19" s="812">
        <f>IF(ISNUMBER(Datos!J19/Datos!I19),Datos!J19/Datos!I19," - ")</f>
        <v>0.30203291384317521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-1.0625</v>
      </c>
      <c r="BM19" s="888">
        <f>IF(ISNUMBER((Datos!P19-Datos!Q19+R19)/(Datos!R19-Datos!P19+Datos!Q19-R19)),(Datos!P19-Datos!Q19+R19)/(Datos!R19-Datos!P19+Datos!Q19-R19)," - ")</f>
        <v>5.7384760112888053E-2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92.376043070340131</v>
      </c>
      <c r="G21" s="551">
        <f>IF(ISNUMBER(STDEV(G8:G18)),STDEV(G8:G18),"-")</f>
        <v>89.099382713911098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85.845791976077663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29.083787006967757</v>
      </c>
      <c r="BD21" s="550"/>
      <c r="BE21" s="550">
        <f>IF(ISNUMBER(STDEV(BE8:BE18)),STDEV(BE8:BE18),"-")</f>
        <v>0</v>
      </c>
      <c r="BF21" s="555">
        <f>IF(ISNUMBER(STDEV(BF8:BF18)),STDEV(BF8:BF18),"-")</f>
        <v>0</v>
      </c>
      <c r="BG21" s="774">
        <f>IF(ISNUMBER(STDEV(BG8:BG18)),STDEV(BG8:BG18),"-")</f>
        <v>0.44992469250484401</v>
      </c>
      <c r="BH21" s="775">
        <f>IF(ISNUMBER(STDEV(BH8:BH18)),STDEV(BH8:BH18),"-")</f>
        <v>2.9866784901267631</v>
      </c>
      <c r="BI21" s="248">
        <f>IF(ISNUMBER(STDEV(BI8:BI18)),STDEV(BI8:BI18),"-")</f>
        <v>0.11986520833227364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sHeAn8LgG2+xd0mtEzeRInUUS8+SufCSe4LL+8Sdp576vPsZt4m59mppoAxJCKMGjpyUulwgIYg1/d2a8AXtA==" saltValue="UauUIPZepInohQLd5okR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1098</v>
      </c>
      <c r="AF12" s="228" t="str">
        <f>IF(ISNUMBER(Datos!BV12),Datos!BV12," - ")</f>
        <v xml:space="preserve"> - </v>
      </c>
      <c r="AG12" s="224" t="str">
        <f>IF(ISNUMBER(Datos!DV12),Datos!DV12," - ")</f>
        <v xml:space="preserve"> - </v>
      </c>
      <c r="AH12" s="297"/>
      <c r="AI12" s="226"/>
      <c r="AJ12" s="224">
        <f>IF(ISNUMBER(Datos!M12),Datos!M12," - ")</f>
        <v>64</v>
      </c>
      <c r="AK12" s="228">
        <f>IF(ISNUMBER(Datos!N12),Datos!N12," - ")</f>
        <v>131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7.7247706422018352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5.7803468208092484E-2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v>
      </c>
      <c r="AA13" s="899">
        <f t="shared" si="2"/>
        <v>0</v>
      </c>
      <c r="AB13" s="899">
        <f t="shared" si="2"/>
        <v>0</v>
      </c>
      <c r="AC13" s="899">
        <f t="shared" si="2"/>
        <v>0</v>
      </c>
      <c r="AD13" s="899">
        <f t="shared" si="2"/>
        <v>0</v>
      </c>
      <c r="AE13" s="899">
        <f t="shared" si="2"/>
        <v>1098</v>
      </c>
      <c r="AF13" s="907">
        <f t="shared" si="2"/>
        <v>0</v>
      </c>
      <c r="AG13" s="907">
        <f t="shared" si="2"/>
        <v>0</v>
      </c>
      <c r="AH13" s="907">
        <f t="shared" si="2"/>
        <v>0</v>
      </c>
      <c r="AI13" s="907">
        <f t="shared" si="2"/>
        <v>0</v>
      </c>
      <c r="AJ13" s="907">
        <f t="shared" si="2"/>
        <v>64</v>
      </c>
      <c r="AK13" s="907">
        <f t="shared" si="2"/>
        <v>131</v>
      </c>
      <c r="AL13" s="907">
        <f t="shared" si="2"/>
        <v>0</v>
      </c>
      <c r="AM13" s="907">
        <f t="shared" si="2"/>
        <v>0</v>
      </c>
      <c r="AN13" s="907">
        <f t="shared" si="2"/>
        <v>0</v>
      </c>
      <c r="AO13" s="903">
        <f>IF(ISNUMBER(((NºAsuntos!I13/NºAsuntos!G13)*11)/factor_trimestre),((NºAsuntos!I13/NºAsuntos!G13)*11)/factor_trimestre," - ")</f>
        <v>7.7247706422018352</v>
      </c>
      <c r="AP13" s="909" t="str">
        <f>IF(ISNUMBER(Datos!CI13/Datos!CJ13),Datos!CI13/Datos!CJ13," - ")</f>
        <v xml:space="preserve"> - </v>
      </c>
      <c r="AQ13" s="927">
        <f t="shared" ref="AQ13:AV13" si="3">SUBTOTAL(9,AQ9:AQ12)</f>
        <v>0</v>
      </c>
      <c r="AR13" s="927">
        <f t="shared" si="3"/>
        <v>5.7803468208092484E-2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160</v>
      </c>
      <c r="G16" s="224">
        <f>IF(ISNUMBER(IF(D_I="SI",Datos!I16,Datos!I16+Datos!AC16)),IF(D_I="SI",Datos!I16,Datos!I16+Datos!AC16)," - ")</f>
        <v>160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153</v>
      </c>
      <c r="Z16" s="618">
        <f>IF(ISNUMBER(Datos!Q16),Datos!Q16," - ")</f>
        <v>2</v>
      </c>
      <c r="AA16" s="331">
        <f>IF(ISNUMBER(IF(D_I="SI",Datos!L16,Datos!L16+Datos!AF16)),IF(D_I="SI",Datos!L16,Datos!L16+Datos!AF16)," - ")</f>
        <v>179</v>
      </c>
      <c r="AB16" s="333"/>
      <c r="AC16" s="333"/>
      <c r="AD16" s="483"/>
      <c r="AE16" s="483">
        <f>IF(ISNUMBER(Datos!R16),Datos!R16," - ")</f>
        <v>26</v>
      </c>
      <c r="AF16" s="228" t="str">
        <f>IF(ISNUMBER(Datos!BV16),Datos!BV16," - ")</f>
        <v xml:space="preserve"> - </v>
      </c>
      <c r="AG16" s="224"/>
      <c r="AH16" s="297"/>
      <c r="AI16" s="226"/>
      <c r="AJ16" s="224">
        <f>IF(ISNUMBER(Datos!M16),Datos!M16," - ")</f>
        <v>22</v>
      </c>
      <c r="AK16" s="228">
        <f>IF(ISNUMBER(Datos!N16),Datos!N16," - ")</f>
        <v>101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2.3398692810457518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24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2.8235294117647061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160</v>
      </c>
      <c r="G18" s="897">
        <f>SUBTOTAL(9,G15:G17)</f>
        <v>173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170</v>
      </c>
      <c r="Z18" s="931">
        <f t="shared" si="5"/>
        <v>2</v>
      </c>
      <c r="AA18" s="931">
        <f t="shared" si="5"/>
        <v>203</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22</v>
      </c>
      <c r="AK18" s="931">
        <f t="shared" si="5"/>
        <v>112</v>
      </c>
      <c r="AL18" s="931">
        <f t="shared" si="5"/>
        <v>0</v>
      </c>
      <c r="AM18" s="931">
        <f t="shared" si="5"/>
        <v>0</v>
      </c>
      <c r="AN18" s="931">
        <f t="shared" si="5"/>
        <v>0</v>
      </c>
      <c r="AO18" s="933">
        <f>IF(ISNUMBER(((NºAsuntos!I18/NºAsuntos!G18)*11)/factor_trimestre),((NºAsuntos!I18/NºAsuntos!G18)*11)/factor_trimestre," - ")</f>
        <v>2.388235294117647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160</v>
      </c>
      <c r="G19" s="819">
        <f t="shared" si="7"/>
        <v>173</v>
      </c>
      <c r="H19" s="820">
        <f t="shared" si="7"/>
        <v>0</v>
      </c>
      <c r="I19" s="819">
        <f t="shared" si="7"/>
        <v>0</v>
      </c>
      <c r="J19" s="821">
        <f t="shared" si="7"/>
        <v>0</v>
      </c>
      <c r="K19" s="819">
        <f t="shared" si="7"/>
        <v>0</v>
      </c>
      <c r="L19" s="822">
        <f t="shared" si="7"/>
        <v>0</v>
      </c>
      <c r="M19" s="819">
        <f t="shared" si="7"/>
        <v>0</v>
      </c>
      <c r="N19" s="820">
        <f t="shared" si="7"/>
        <v>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170</v>
      </c>
      <c r="Z19" s="826">
        <f t="shared" si="8"/>
        <v>8</v>
      </c>
      <c r="AA19" s="827">
        <f t="shared" si="8"/>
        <v>203</v>
      </c>
      <c r="AB19" s="827">
        <f t="shared" si="8"/>
        <v>0</v>
      </c>
      <c r="AC19" s="827">
        <f t="shared" si="8"/>
        <v>0</v>
      </c>
      <c r="AD19" s="828">
        <f t="shared" si="8"/>
        <v>0</v>
      </c>
      <c r="AE19" s="828">
        <f t="shared" si="8"/>
        <v>1124</v>
      </c>
      <c r="AF19" s="829">
        <f t="shared" si="8"/>
        <v>0</v>
      </c>
      <c r="AG19" s="830">
        <f t="shared" si="8"/>
        <v>0</v>
      </c>
      <c r="AH19" s="831">
        <f t="shared" si="8"/>
        <v>0</v>
      </c>
      <c r="AI19" s="829">
        <f t="shared" si="8"/>
        <v>0</v>
      </c>
      <c r="AJ19" s="819">
        <f t="shared" si="8"/>
        <v>86</v>
      </c>
      <c r="AK19" s="819">
        <f t="shared" si="8"/>
        <v>243</v>
      </c>
      <c r="AL19" s="819">
        <f t="shared" si="8"/>
        <v>0</v>
      </c>
      <c r="AM19" s="832">
        <f t="shared" si="8"/>
        <v>0</v>
      </c>
      <c r="AN19" s="822">
        <f>IF(ISNUMBER(Datos!K19/Datos!J19),Datos!K19/Datos!J19," - ")</f>
        <v>1.1570512820512822</v>
      </c>
      <c r="AO19" s="822">
        <f>IF(ISNUMBER(FIND("06",Criterios!A8,1)),(IF(ISNUMBER(((Datos!R19/Datos!Q19)*11)/factor_trimestre),((Datos!R19/Datos!Q19)*11)/factor_trimestre," - ")),(IF(ISNUMBER(((Datos!L19/Datos!K19)*11)/factor_trimestre),((Datos!L19/Datos!K19)*11)/factor_trimestre," - ")))</f>
        <v>5.4515235457063715</v>
      </c>
      <c r="AP19" s="833" t="str">
        <f>IF(ISNUMBER(Datos!CI19/Datos!CJ19),Datos!CI19/Datos!CJ19," - ")</f>
        <v xml:space="preserve"> - </v>
      </c>
      <c r="AQ19" s="833">
        <f>IF(OR(ISNUMBER(FIND("01",Criterios!A8,1)),ISNUMBER(FIND("02",Criterios!A8,1)),ISNUMBER(FIND("03",Criterios!A8,1)),ISNUMBER(FIND("04",Criterios!A8,1))),(J19-Y19+K19)/(F19-K19),(I19-Y19+K19)/(F19-K19))</f>
        <v>-1.0625</v>
      </c>
      <c r="AR19" s="833">
        <f>IF(ISNUMBER((Datos!P19-Datos!Q19+O19)/(Datos!R19-Datos!P19+Datos!Q19-O19)),(Datos!P19-Datos!Q19+O19)/(Datos!R19-Datos!P19+Datos!Q19-O19)," - ")</f>
        <v>5.7384760112888053E-2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92.376043070340131</v>
      </c>
      <c r="G21" s="551">
        <f>IF(ISNUMBER(STDEV(G8:G18)),STDEV(G8:G18),"-")</f>
        <v>89.099382713911098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29.083787006967757</v>
      </c>
      <c r="AK21" s="251"/>
      <c r="AL21" s="251">
        <f>IF(ISNUMBER(STDEV(AL8:AL18)),STDEV(AL8:AL18),"-")</f>
        <v>0</v>
      </c>
      <c r="AM21" s="253">
        <f>IF(ISNUMBER(STDEV(AM8:AM18)),STDEV(AM8:AM18),"-")</f>
        <v>0</v>
      </c>
      <c r="AN21" s="538">
        <f>IF(ISNUMBER(STDEV(AN8:AN18)),STDEV(AN8:AN18),"-")</f>
        <v>0</v>
      </c>
      <c r="AO21" s="539">
        <f>IF(ISNUMBER(STDEV(AO8:AO18)),STDEV(AO8:AO18),"-")</f>
        <v>2.8585103020757576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i6yVc+sTkP69Ie7srIDhKlpx8fwJkjAPCYAYcxIsP1S+6H2SoIUfUJAQ3bM1fVFrIWmkKGyqTg57VA7GrukiA==" saltValue="TDzEyqrglq8zlxGkBHsE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PDXwu/8heoRaDQ4e9fuNX8RndK8ie0+BJO1Bj99TdVEeliWCDbBo5lCKBu9lQNDoHHauTzVP9Iz05yqIzxrbg==" saltValue="VwSQqEJDbSo/aMgTVO7R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pYcifI/17DeEWyCkY/bZHBPUYGkUflaiqQk9GZYcif4ASUgUu4rYcN+HW5Drf2iuJ1pB5rGSNoy6ixrAZr3KA==" saltValue="LlguyVSomLXzzha/ONOq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0.29357798165137616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0.20759098163274789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m3/jSFjXKAVoNshSye4/gdDanP4ROgH4gEmzuKvyAojSMhpXLBYi5y/0fDSrpE4zT92eKm9ldQsw4A9QIrtyQ==" saltValue="FCYKZdjhbb9iRi47vdR+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0npRXPDW9erulxUUEZbkLYuRC5auLLiY/4ceHhQGpbwI8qZxmli1cT89Dop50sinFZlSiK+kk2Ro/DJeSxxRw==" saltValue="Way8xkLZNVuoEiQR3za7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VILALBA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905</v>
      </c>
      <c r="D12" s="403">
        <f>IF(ISNUMBER(C12/Datos!BH12),C12/Datos!BH12," - ")</f>
        <v>452.5</v>
      </c>
      <c r="E12" s="402">
        <f>IF(ISNUMBER(IF(J_V="SI",Datos!J12,Datos!J12+Datos!Z12)),IF(J_V="SI",Datos!J12,Datos!J12+Datos!Z12)," - ")</f>
        <v>155</v>
      </c>
      <c r="F12" s="403">
        <f>IF(ISNUMBER(E12/B12),E12/B12," - ")</f>
        <v>77.5</v>
      </c>
      <c r="G12" s="402">
        <f>IF(ISNUMBER(IF(J_V="SI",Datos!K12,Datos!K12+Datos!AA12)),IF(J_V="SI",Datos!K12,Datos!K12+Datos!AA12)," - ")</f>
        <v>218</v>
      </c>
      <c r="H12" s="403">
        <f>IF(ISNUMBER(G12/B12),G12/B12," - ")</f>
        <v>109</v>
      </c>
      <c r="I12" s="402">
        <f>IF(ISNUMBER(IF(J_V="SI",Datos!L12,Datos!L12+Datos!AB12)),IF(J_V="SI",Datos!L12,Datos!L12+Datos!AB12)," - ")</f>
        <v>842</v>
      </c>
      <c r="J12" s="403">
        <f>IF(ISNUMBER(I12/B12),I12/B12," - ")</f>
        <v>421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905</v>
      </c>
      <c r="D13" s="849" t="str">
        <f>IF(ISNUMBER(C13/Datos!BI13),C13/Datos!BI13," - ")</f>
        <v xml:space="preserve"> - </v>
      </c>
      <c r="E13" s="848">
        <f>SUBTOTAL(9,E8:E12)</f>
        <v>155</v>
      </c>
      <c r="F13" s="849">
        <f>IF(ISNUMBER(E13/B13),E13/B13," - ")</f>
        <v>77.5</v>
      </c>
      <c r="G13" s="848">
        <f>SUBTOTAL(9,G8:G12)</f>
        <v>218</v>
      </c>
      <c r="H13" s="849">
        <f>IF(ISNUMBER(G13/B13),G13/B13," - ")</f>
        <v>109</v>
      </c>
      <c r="I13" s="848">
        <f>SUBTOTAL(9,I8:I12)</f>
        <v>842</v>
      </c>
      <c r="J13" s="849">
        <f>IF(ISNUMBER(I13/B13),I13/B13," - ")</f>
        <v>421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160</v>
      </c>
      <c r="D16" s="403">
        <f>IF(ISNUMBER(C16/Datos!BH16),C16/Datos!BH16," - ")</f>
        <v>80</v>
      </c>
      <c r="E16" s="402">
        <f>IF(ISNUMBER(IF(D_I="SI",Datos!J16,Datos!J16+Datos!AD16)),IF(D_I="SI",Datos!J16,Datos!J16+Datos!AD16)," - ")</f>
        <v>172</v>
      </c>
      <c r="F16" s="403">
        <f>IF(ISNUMBER(E16/B16),E16/B16," - ")</f>
        <v>86</v>
      </c>
      <c r="G16" s="402">
        <f>IF(ISNUMBER(IF(D_I="SI",Datos!K16,Datos!K16+Datos!AE16)),IF(D_I="SI",Datos!K16,Datos!K16+Datos!AE16)," - ")</f>
        <v>153</v>
      </c>
      <c r="H16" s="403">
        <f>IF(ISNUMBER(G16/B16),G16/B16," - ")</f>
        <v>76.5</v>
      </c>
      <c r="I16" s="402">
        <f>IF(ISNUMBER(IF(D_I="SI",Datos!L16,Datos!L16+Datos!AF16)),IF(D_I="SI",Datos!L16,Datos!L16+Datos!AF16)," - ")</f>
        <v>179</v>
      </c>
      <c r="J16" s="403">
        <f>IF(ISNUMBER(I16/B16),I16/B16," - ")</f>
        <v>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28</v>
      </c>
      <c r="F17" s="403">
        <f>IF(ISNUMBER(E17/B17),E17/B17," - ")</f>
        <v>28</v>
      </c>
      <c r="G17" s="402">
        <f>IF(ISNUMBER(IF(D_I="SI",Datos!K17,Datos!K17+Datos!AE17)),IF(D_I="SI",Datos!K17,Datos!K17+Datos!AE17)," - ")</f>
        <v>17</v>
      </c>
      <c r="H17" s="403">
        <f>IF(ISNUMBER(G17/B17),G17/B17," - ")</f>
        <v>17</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173</v>
      </c>
      <c r="D18" s="849" t="str">
        <f>IF(ISNUMBER(C18/Datos!BI18),C18/Datos!BI18," - ")</f>
        <v xml:space="preserve"> - </v>
      </c>
      <c r="E18" s="848">
        <f>SUBTOTAL(9,E14:E17)</f>
        <v>200</v>
      </c>
      <c r="F18" s="849">
        <f>IF(ISNUMBER(E18/B18),E18/B18," - ")</f>
        <v>100</v>
      </c>
      <c r="G18" s="848">
        <f>SUBTOTAL(9,G14:G17)</f>
        <v>170</v>
      </c>
      <c r="H18" s="849">
        <f>IF(ISNUMBER(G18/B18),G18/B18," - ")</f>
        <v>85</v>
      </c>
      <c r="I18" s="848">
        <f>SUBTOTAL(9,I14:I17)</f>
        <v>203</v>
      </c>
      <c r="J18" s="849">
        <f>IF(ISNUMBER(I18/B18),I18/B18," - ")</f>
        <v>101.5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1078</v>
      </c>
      <c r="D19" s="794" t="str">
        <f>IF(ISNUMBER(C19/Datos!BI19),C19/Datos!BI19," - ")</f>
        <v xml:space="preserve"> - </v>
      </c>
      <c r="E19" s="793">
        <f>SUBTOTAL(9,E9:E18)</f>
        <v>355</v>
      </c>
      <c r="F19" s="794">
        <f>IF(ISNUMBER(E19/B19),E19/B19," - ")</f>
        <v>177.5</v>
      </c>
      <c r="G19" s="793">
        <f>SUBTOTAL(9,G9:G18)</f>
        <v>388</v>
      </c>
      <c r="H19" s="794">
        <f>IF(ISNUMBER(G19/B19),G19/B19," - ")</f>
        <v>194</v>
      </c>
      <c r="I19" s="793">
        <f>SUBTOTAL(9,I9:I18)</f>
        <v>1045</v>
      </c>
      <c r="J19" s="794">
        <f>IF(ISNUMBER(I19/B19),I19/B19," - ")</f>
        <v>522.5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7etAvizC1/bWIoJRjoG8suLDjWMUazDtYlF1jJ41uveS9IrQRg4F8goWtIgvhf3+3MDSrxpYNIoLiB01y+PszQ==" saltValue="WBuuwHjf0OWhMZJlGuqq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131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7.7247706422018352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5.7803468208092484E-2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v>
      </c>
      <c r="AE13" s="938">
        <f t="shared" si="1"/>
        <v>0</v>
      </c>
      <c r="AF13" s="938">
        <f t="shared" si="1"/>
        <v>0</v>
      </c>
      <c r="AG13" s="938">
        <f t="shared" si="1"/>
        <v>0</v>
      </c>
      <c r="AH13" s="938">
        <f t="shared" si="1"/>
        <v>1098</v>
      </c>
      <c r="AI13" s="938">
        <f t="shared" si="1"/>
        <v>0</v>
      </c>
      <c r="AJ13" s="938">
        <f t="shared" si="1"/>
        <v>0</v>
      </c>
      <c r="AK13" s="938">
        <f t="shared" si="1"/>
        <v>0</v>
      </c>
      <c r="AL13" s="938">
        <f t="shared" si="1"/>
        <v>64</v>
      </c>
      <c r="AM13" s="938">
        <f t="shared" si="1"/>
        <v>131</v>
      </c>
      <c r="AN13" s="938">
        <f t="shared" si="1"/>
        <v>0</v>
      </c>
      <c r="AO13" s="938">
        <f t="shared" si="1"/>
        <v>0</v>
      </c>
      <c r="AP13" s="943">
        <f>IF(ISNUMBER(((Datos!L13/Datos!K13)*11)/factor_trimestre),((Datos!L13/Datos!K13)*11)/factor_trimestre," - ")</f>
        <v>8.178010471204189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5.7803468208092484E-2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2.388235294117647</v>
      </c>
      <c r="AQ18" s="943">
        <f>IF(ISNUMBER(((Datos!M18/Datos!L18)*11)/factor_trimestre),((Datos!M18/Datos!L18)*11)/factor_trimestre," - ")</f>
        <v>0.21674876847290642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0.04</v>
      </c>
      <c r="AW18" s="945">
        <f>IF(ISNUMBER((Datos!Q18-Datos!R18)/(Datos!S18-Datos!Q18+Datos!R18)),(Datos!Q18-Datos!R18)/(Datos!S18-Datos!Q18+Datos!R18)," - ")</f>
        <v>-0.10169491525423729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v>
      </c>
      <c r="AE19" s="956">
        <f t="shared" si="5"/>
        <v>0</v>
      </c>
      <c r="AF19" s="957">
        <f t="shared" si="5"/>
        <v>0</v>
      </c>
      <c r="AG19" s="957">
        <f t="shared" si="5"/>
        <v>0</v>
      </c>
      <c r="AH19" s="957">
        <f t="shared" si="5"/>
        <v>1098</v>
      </c>
      <c r="AI19" s="957">
        <f t="shared" si="5"/>
        <v>0</v>
      </c>
      <c r="AJ19" s="958">
        <f t="shared" si="5"/>
        <v>0</v>
      </c>
      <c r="AK19" s="958">
        <f t="shared" si="5"/>
        <v>0</v>
      </c>
      <c r="AL19" s="950">
        <f t="shared" si="5"/>
        <v>64</v>
      </c>
      <c r="AM19" s="950">
        <f t="shared" si="5"/>
        <v>131</v>
      </c>
      <c r="AN19" s="950">
        <f t="shared" si="5"/>
        <v>0</v>
      </c>
      <c r="AO19" s="950">
        <f t="shared" si="5"/>
        <v>0</v>
      </c>
      <c r="AP19" s="950">
        <f>IF(ISNUMBER(((Datos!L19/Datos!K19)*11)/factor_trimestre),((Datos!L19/Datos!K19)*11)/factor_trimestre," - ")</f>
        <v>5.4515235457063715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5.7384760112888053E-2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36.950417228136047</v>
      </c>
      <c r="AM21" s="735"/>
      <c r="AN21" s="735">
        <f>IF(ISNUMBER(STDEV(AN8:AN18)),STDEV(AN8:AN18),"-")</f>
        <v>0</v>
      </c>
      <c r="AO21" s="741">
        <f>IF(ISNUMBER(STDEV(AO8:AO18)),STDEV(AO8:AO18),"-")</f>
        <v>0</v>
      </c>
      <c r="AP21" s="778">
        <f>IF(ISNUMBER(STDEV(AP8:AP18)),STDEV(AP8:AP18),"-")</f>
        <v>3.2198740261370902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vWgqHvo9N+OpfL72pDy7INg5anVtDkv2NIbvP5aD4gFn6k7sH1X8Ljq86dIuW8PuKFNe8OnH9KsrDg2SBeNXg==" saltValue="hfCHXQjF5ZF8RIZ1j3iY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ELSI/rJ/r2ObGNeAbo4NlMwNgqU7Tm33ZR0NCZds/KCVMb1M1A2imkbYdYMos5PfojxhhCHDCagSGhSO7Y91Q==" saltValue="q6mnnk8Lw0Yu24BSaqkC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VILALBA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64</v>
      </c>
      <c r="E12" s="403">
        <f t="shared" si="0"/>
        <v>32</v>
      </c>
      <c r="F12" s="402">
        <f>IF(ISNUMBER(Datos!N12),Datos!N12," - ")</f>
        <v>131</v>
      </c>
      <c r="G12" s="403">
        <f t="shared" si="1"/>
        <v>65.5</v>
      </c>
      <c r="H12" s="402">
        <f>IF(ISNUMBER(Datos!O12),Datos!O12," - ")</f>
        <v>38</v>
      </c>
      <c r="I12" s="403">
        <f t="shared" si="2"/>
        <v>19</v>
      </c>
      <c r="BZ12" s="1185">
        <f>Datos!EZ12</f>
        <v>0</v>
      </c>
    </row>
    <row r="13" spans="1:78" ht="14.25" thickTop="1" thickBot="1">
      <c r="A13" s="847" t="str">
        <f>Datos!A13</f>
        <v>TOTAL</v>
      </c>
      <c r="B13" s="848">
        <f>Datos!AP13</f>
        <v>2</v>
      </c>
      <c r="C13" s="850">
        <f>Datos!AR13</f>
        <v>2</v>
      </c>
      <c r="D13" s="848">
        <f>SUBTOTAL(9,D9:D12)</f>
        <v>64</v>
      </c>
      <c r="E13" s="849">
        <f t="shared" si="0"/>
        <v>32</v>
      </c>
      <c r="F13" s="848">
        <f>SUBTOTAL(9,F9:F12)</f>
        <v>131</v>
      </c>
      <c r="G13" s="849">
        <f t="shared" si="1"/>
        <v>65.5</v>
      </c>
      <c r="H13" s="848">
        <f>SUBTOTAL(9,H9:H12)</f>
        <v>38</v>
      </c>
      <c r="I13" s="849">
        <f>IF(ISNUMBER(H13/B13),H13/B13," - ")</f>
        <v>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v>
      </c>
      <c r="E16" s="403">
        <f t="shared" si="3"/>
        <v>11</v>
      </c>
      <c r="F16" s="402">
        <f>IF(ISNUMBER(Datos!N16),Datos!N16," - ")</f>
        <v>101</v>
      </c>
      <c r="G16" s="403">
        <f t="shared" si="4"/>
        <v>50.5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22</v>
      </c>
      <c r="E18" s="849">
        <f t="shared" si="3"/>
        <v>11</v>
      </c>
      <c r="F18" s="848">
        <f>SUBTOTAL(9,F15:F17)</f>
        <v>112</v>
      </c>
      <c r="G18" s="849">
        <f t="shared" si="4"/>
        <v>56</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86</v>
      </c>
      <c r="E19" s="794">
        <f>IF(ISNUMBER(D19/B19),D19/B19," - ")</f>
        <v>43</v>
      </c>
      <c r="F19" s="793">
        <f>SUBTOTAL(9,F8:F18)</f>
        <v>243</v>
      </c>
      <c r="G19" s="794">
        <f>IF(ISNUMBER(F19/B19),F19/B19," - ")</f>
        <v>121.5</v>
      </c>
      <c r="H19" s="793">
        <f>SUBTOTAL(9,H8:H18)</f>
        <v>39</v>
      </c>
      <c r="I19" s="794">
        <f>IF(ISNUMBER(H19/B19),H19/B19," - ")</f>
        <v>19.5</v>
      </c>
    </row>
    <row r="22" spans="1:78">
      <c r="A22" s="390" t="str">
        <f>Criterios!A4</f>
        <v>Fecha Informe: 09 dic. 2025</v>
      </c>
    </row>
    <row r="27" spans="1:78">
      <c r="A27" s="413"/>
    </row>
  </sheetData>
  <sheetProtection algorithmName="SHA-512" hashValue="GWtFjHGCllG8kCFkppt3C6vZpHPYaFkhuZiQeF2tUjNPNSgOnriqAfcGgIcohBU9GB40+84tEqBBOtfICwDwjg==" saltValue="rcMHCiCJxr1EuPxk34aD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VILALBA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66</v>
      </c>
      <c r="C12" s="433">
        <f>IF(ISNUMBER(Datos!Q12),Datos!Q12," - ")</f>
        <v>6</v>
      </c>
      <c r="D12" s="407">
        <f>IF(ISNUMBER(Datos!R12),Datos!R12," - ")</f>
        <v>1098</v>
      </c>
    </row>
    <row r="13" spans="1:4" ht="14.25" thickTop="1" thickBot="1">
      <c r="A13" s="847" t="str">
        <f>Datos!A13</f>
        <v>TOTAL</v>
      </c>
      <c r="B13" s="848">
        <f>SUBTOTAL(9,B9:B12)</f>
        <v>66</v>
      </c>
      <c r="C13" s="852">
        <f>SUBTOTAL(9,C9:C12)</f>
        <v>6</v>
      </c>
      <c r="D13" s="850">
        <f>SUBTOTAL(9,D9:D12)</f>
        <v>1098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2</v>
      </c>
      <c r="D16" s="407">
        <f>IF(ISNUMBER(Datos!R16),Datos!R16," - ")</f>
        <v>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2</v>
      </c>
      <c r="D18" s="850">
        <f>SUBTOTAL(9,D15:D17)</f>
        <v>26</v>
      </c>
    </row>
    <row r="19" spans="1:4" ht="16.5" customHeight="1" thickTop="1" thickBot="1">
      <c r="A19" s="792" t="str">
        <f>Datos!A19</f>
        <v>TOTAL JURISDICCIONES</v>
      </c>
      <c r="B19" s="797">
        <f>SUBTOTAL(9,B8:B18)</f>
        <v>69</v>
      </c>
      <c r="C19" s="798">
        <f>SUBTOTAL(9,C8:C18)</f>
        <v>8</v>
      </c>
      <c r="D19" s="799">
        <f>SUBTOTAL(9,D8:D18)</f>
        <v>1124</v>
      </c>
    </row>
    <row r="20" spans="1:4" ht="7.5" customHeight="1"/>
    <row r="21" spans="1:4" ht="6" customHeight="1"/>
    <row r="22" spans="1:4">
      <c r="A22" s="390" t="str">
        <f>Criterios!A4</f>
        <v>Fecha Informe: 09 dic. 2025</v>
      </c>
    </row>
    <row r="27" spans="1:4">
      <c r="A27" s="413"/>
    </row>
  </sheetData>
  <sheetProtection algorithmName="SHA-512" hashValue="0ucHt1sYv3+h6a+rIxMtnYbEwvq8Jo320L2SH1SEoJ3YLM0Tqq82mgMPrCM2AUet4h7lfPBqYaYlj7CtnxOB6w==" saltValue="1RdYojWb+cTWBml/QP2t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VILALBA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2.3755656108597284E-2</v>
      </c>
      <c r="C12" s="455">
        <f>IF(ISNUMBER(
   IF(J_V="SI",(Datos!J12-Datos!T12)/Datos!T12,(Datos!J12+Datos!Z12-(Datos!T12+Datos!AH12))/(Datos!T12+Datos!AH12))
     ),IF(J_V="SI",(Datos!J12-Datos!T12)/Datos!T12,(Datos!J12+Datos!Z12-(Datos!T12+Datos!AH12))/(Datos!T12+Datos!AH12))," - ")</f>
        <v>-0.40839694656488551</v>
      </c>
      <c r="D12" s="455">
        <f>IF(ISNUMBER(
   IF(J_V="SI",(Datos!K12-Datos!U12)/Datos!U12,(Datos!K12+Datos!AA12-(Datos!U12+Datos!AI12))/(Datos!U12+Datos!AI12))
     ),IF(J_V="SI",(Datos!K12-Datos!U12)/Datos!U12,(Datos!K12+Datos!AA12-(Datos!U12+Datos!AI12))/(Datos!U12+Datos!AI12))," - ")</f>
        <v>-0.24041811846689895</v>
      </c>
      <c r="E12" s="455">
        <f>IF(ISNUMBER(
   IF(J_V="SI",(Datos!L12-Datos!V12)/Datos!V12,(Datos!L12+Datos!AB12-(Datos!V12+Datos!AJ12))/(Datos!V12+Datos!AJ12))
     ),IF(J_V="SI",(Datos!L12-Datos!V12)/Datos!V12,(Datos!L12+Datos!AB12-(Datos!V12+Datos!AJ12))/(Datos!V12+Datos!AJ12))," - ")</f>
        <v>6.1790668348045398E-2</v>
      </c>
      <c r="F12" s="455">
        <f>IF(ISNUMBER((Datos!M12-Datos!W12)/Datos!W12),(Datos!M12-Datos!W12)/Datos!W12," - ")</f>
        <v>-0.58441558441558439</v>
      </c>
      <c r="G12" s="456">
        <f>IF(ISNUMBER((Datos!N12-Datos!X12)/Datos!X12),(Datos!N12-Datos!X12)/Datos!X12," - ")</f>
        <v>0.89855072463768115</v>
      </c>
      <c r="H12" s="454">
        <f>IF(ISNUMBER(((NºAsuntos!G12/NºAsuntos!E12)-Datos!BD12)/Datos!BD12),((NºAsuntos!G12/NºAsuntos!E12)-Datos!BD12)/Datos!BD12," - ")</f>
        <v>0.28393840620433847</v>
      </c>
      <c r="I12" s="455">
        <f>IF(ISNUMBER(((NºAsuntos!I12/NºAsuntos!G12)-Datos!BE12)/Datos!BE12),((NºAsuntos!I12/NºAsuntos!G12)-Datos!BE12)/Datos!BE12," - ")</f>
        <v>0.39786202667838999</v>
      </c>
      <c r="J12" s="460">
        <f>IF(ISNUMBER((('Resol  Asuntos'!D12/NºAsuntos!G12)-Datos!BF12)/Datos!BF12),(('Resol  Asuntos'!D12/NºAsuntos!G12)-Datos!BF12)/Datos!BF12," - ")</f>
        <v>0.2211142135354342</v>
      </c>
      <c r="K12" s="461">
        <f>IF(ISNUMBER((((NºAsuntos!C12+NºAsuntos!E12)/NºAsuntos!G12)-Datos!BG12)/Datos!BG12),(((NºAsuntos!C12+NºAsuntos!E12)/NºAsuntos!G12)-Datos!BG12)/Datos!BG12," - ")</f>
        <v>0.21771778983940943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2.3755656108597284E-2</v>
      </c>
      <c r="C13" s="854">
        <f>IF(ISNUMBER(
   IF(J_V="SI",(Datos!J13-Datos!T13)/Datos!T13,(Datos!J13+Datos!Z13-(Datos!T13+Datos!AH13))/(Datos!T13+Datos!AH13))
     ),IF(J_V="SI",(Datos!J13-Datos!T13)/Datos!T13,(Datos!J13+Datos!Z13-(Datos!T13+Datos!AH13))/(Datos!T13+Datos!AH13))," - ")</f>
        <v>-0.40839694656488551</v>
      </c>
      <c r="D13" s="854">
        <f>IF(ISNUMBER(
   IF(J_V="SI",(Datos!K13-Datos!U13)/Datos!U13,(Datos!K13+Datos!AA13-(Datos!U13+Datos!AI13))/(Datos!U13+Datos!AI13))
     ),IF(J_V="SI",(Datos!K13-Datos!U13)/Datos!U13,(Datos!K13+Datos!AA13-(Datos!U13+Datos!AI13))/(Datos!U13+Datos!AI13))," - ")</f>
        <v>-0.24041811846689895</v>
      </c>
      <c r="E13" s="854">
        <f>IF(ISNUMBER(
   IF(J_V="SI",(Datos!L13-Datos!V13)/Datos!V13,(Datos!L13+Datos!AB13-(Datos!V13+Datos!AJ13))/(Datos!V13+Datos!AJ13))
     ),IF(J_V="SI",(Datos!L13-Datos!V13)/Datos!V13,(Datos!L13+Datos!AB13-(Datos!V13+Datos!AJ13))/(Datos!V13+Datos!AJ13))," - ")</f>
        <v>6.1790668348045398E-2</v>
      </c>
      <c r="F13" s="855">
        <f>IF(ISNUMBER((Datos!M13-Datos!W13)/Datos!W13),(Datos!M13-Datos!W13)/Datos!W13," - ")</f>
        <v>-0.58441558441558439</v>
      </c>
      <c r="G13" s="856">
        <f>IF(ISNUMBER((Datos!N13-Datos!X13)/Datos!X13),(Datos!N13-Datos!X13)/Datos!X13," - ")</f>
        <v>0.89855072463768115</v>
      </c>
      <c r="H13" s="856">
        <f>IF(ISNUMBER(((NºAsuntos!G13/NºAsuntos!E13)-Datos!BD13)/Datos!BD13),((NºAsuntos!G13/NºAsuntos!E13)-Datos!BD13)/Datos!BD13," - ")</f>
        <v>0.28393840620433847</v>
      </c>
      <c r="I13" s="856">
        <f>IF(ISNUMBER(((NºAsuntos!I13/NºAsuntos!G13)-Datos!BE13)/Datos!BE13),((NºAsuntos!I13/NºAsuntos!G13)-Datos!BE13)/Datos!BE13," - ")</f>
        <v>0.39786202667838999</v>
      </c>
      <c r="J13" s="856">
        <f>IF(ISNUMBER((('Resol  Asuntos'!D13/NºAsuntos!G13)-Datos!BF13)/Datos!BF13),(('Resol  Asuntos'!D13/NºAsuntos!G13)-Datos!BF13)/Datos!BF13," - ")</f>
        <v>0.2211142135354342</v>
      </c>
      <c r="K13" s="856">
        <f>IF(ISNUMBER((((NºAsuntos!C13+NºAsuntos!E13)/NºAsuntos!G13)-Datos!BG13)/Datos!BG13),(((NºAsuntos!C13+NºAsuntos!E13)/NºAsuntos!G13)-Datos!BG13)/Datos!BG13," - ")</f>
        <v>0.21771778983940943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-0.22705314009661837</v>
      </c>
      <c r="C16" s="455">
        <f>IF(ISNUMBER(
   IF(D_I="SI",(Datos!J16-Datos!T16)/Datos!T16,(Datos!J16+Datos!AD16-(Datos!T16+Datos!AL16))/(Datos!T16+Datos!AL16))
     ),IF(D_I="SI",(Datos!J16-Datos!T16)/Datos!T16,(Datos!J16+Datos!AD16-(Datos!T16+Datos!AL16))/(Datos!T16+Datos!AL16))," - ")</f>
        <v>2.9940119760479042E-2</v>
      </c>
      <c r="D16" s="455">
        <f>IF(ISNUMBER(
   IF(D_I="SI",(Datos!K16-Datos!U16)/Datos!U16,(Datos!K16+Datos!AE16-(Datos!U16+Datos!AM16))/(Datos!U16+Datos!AM16))
     ),IF(D_I="SI",(Datos!K16-Datos!U16)/Datos!U16,(Datos!K16+Datos!AE16-(Datos!U16+Datos!AM16))/(Datos!U16+Datos!AM16))," - ")</f>
        <v>-1.2903225806451613E-2</v>
      </c>
      <c r="E16" s="455">
        <f>IF(ISNUMBER(
   IF(D_I="SI",(Datos!L16-Datos!V16)/Datos!V16,(Datos!L16+Datos!AF16-(Datos!V16+Datos!AN16))/(Datos!V16+Datos!AN16))
     ),IF(D_I="SI",(Datos!L16-Datos!V16)/Datos!V16,(Datos!L16+Datos!AF16-(Datos!V16+Datos!AN16))/(Datos!V16+Datos!AN16))," - ")</f>
        <v>-1.6483516483516484E-2</v>
      </c>
      <c r="F16" s="455">
        <f>IF(ISNUMBER((Datos!M16-Datos!W16)/Datos!W16),(Datos!M16-Datos!W16)/Datos!W16," - ")</f>
        <v>-0.37142857142857144</v>
      </c>
      <c r="G16" s="456">
        <f>IF(ISNUMBER((Datos!N16-Datos!X16)/Datos!X16),(Datos!N16-Datos!X16)/Datos!X16," - ")</f>
        <v>0.23170731707317074</v>
      </c>
      <c r="H16" s="454">
        <f>IF(ISNUMBER(((NºAsuntos!G16/NºAsuntos!E16)-Datos!BD16)/Datos!BD16),((NºAsuntos!G16/NºAsuntos!E16)-Datos!BD16)/Datos!BD16," - ")</f>
        <v>-4.159789947486868E-2</v>
      </c>
      <c r="I16" s="455">
        <f>IF(ISNUMBER(((NºAsuntos!I16/NºAsuntos!G16)-Datos!BE16)/Datos!BE16),((NºAsuntos!I16/NºAsuntos!G16)-Datos!BE16)/Datos!BE16," - ")</f>
        <v>-3.6270918623858331E-3</v>
      </c>
      <c r="J16" s="460">
        <f>IF(ISNUMBER((('Resol  Asuntos'!D16/NºAsuntos!G16)-Datos!BF16)/Datos!BF16),(('Resol  Asuntos'!D16/NºAsuntos!G16)-Datos!BF16)/Datos!BF16," - ")</f>
        <v>-0.36321195144724561</v>
      </c>
      <c r="K16" s="461">
        <f>IF(ISNUMBER((((NºAsuntos!C16+NºAsuntos!E16)/NºAsuntos!G16)-Datos!BG16)/Datos!BG16),(((NºAsuntos!C16+NºAsuntos!E16)/NºAsuntos!G16)-Datos!BG16)/Datos!BG16," - ")</f>
        <v>-0.10069553668169598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1.6</v>
      </c>
      <c r="C17" s="455">
        <f>IF(ISNUMBER(
   IF(D_I="SI",(Datos!J17-Datos!T17)/Datos!T17,(Datos!J17+Datos!AD17-(Datos!T17+Datos!AL17))/(Datos!T17+Datos!AL17))
     ),IF(D_I="SI",(Datos!J17-Datos!T17)/Datos!T17,(Datos!J17+Datos!AD17-(Datos!T17+Datos!AL17))/(Datos!T17+Datos!AL17))," - ")</f>
        <v>0.8666666666666667</v>
      </c>
      <c r="D17" s="455">
        <f>IF(ISNUMBER(
   IF(D_I="SI",(Datos!K17-Datos!U17)/Datos!U17,(Datos!K17+Datos!AE17-(Datos!U17+Datos!AM17))/(Datos!U17+Datos!AM17))
     ),IF(D_I="SI",(Datos!K17-Datos!U17)/Datos!U17,(Datos!K17+Datos!AE17-(Datos!U17+Datos!AM17))/(Datos!U17+Datos!AM17))," - ")</f>
        <v>0.41666666666666669</v>
      </c>
      <c r="E17" s="455">
        <f>IF(ISNUMBER(
   IF(D_I="SI",(Datos!L17-Datos!V17)/Datos!V17,(Datos!L17+Datos!AF17-(Datos!V17+Datos!AN17))/(Datos!V17+Datos!AN17))
     ),IF(D_I="SI",(Datos!L17-Datos!V17)/Datos!V17,(Datos!L17+Datos!AF17-(Datos!V17+Datos!AN17))/(Datos!V17+Datos!AN17))," - ")</f>
        <v>2.4285714285714284</v>
      </c>
      <c r="F17" s="455" t="str">
        <f>IF(ISNUMBER((Datos!M17-Datos!W17)/Datos!W17),(Datos!M17-Datos!W17)/Datos!W17," - ")</f>
        <v xml:space="preserve"> - </v>
      </c>
      <c r="G17" s="456">
        <f>IF(ISNUMBER((Datos!N17-Datos!X17)/Datos!X17),(Datos!N17-Datos!X17)/Datos!X17," - ")</f>
        <v>-8.3333333333333329E-2</v>
      </c>
      <c r="H17" s="454">
        <f>IF(ISNUMBER(((NºAsuntos!G17/NºAsuntos!E17)-Datos!BD17)/Datos!BD17),((NºAsuntos!G17/NºAsuntos!E17)-Datos!BD17)/Datos!BD17," - ")</f>
        <v>-0.24107142857142869</v>
      </c>
      <c r="I17" s="455">
        <f>IF(ISNUMBER(((NºAsuntos!I17/NºAsuntos!G17)-Datos!BE17)/Datos!BE17),((NºAsuntos!I17/NºAsuntos!G17)-Datos!BE17)/Datos!BE17," - ")</f>
        <v>1.4201680672268908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0.44705882352941162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-0.18396226415094338</v>
      </c>
      <c r="C18" s="854">
        <f>IF(ISNUMBER(
   IF(Criterios!B14="SI",(Datos!J18-Datos!T18)/Datos!T18,(Datos!J18+Datos!AD18-(Datos!T18+Datos!AL18))/(Datos!T18+Datos!AL18))
     ),IF(Criterios!B14="SI",(Datos!J18-Datos!T18)/Datos!T18,(Datos!J18+Datos!AD18-(Datos!T18+Datos!AL18))/(Datos!T18+Datos!AL18))," - ")</f>
        <v>9.8901098901098897E-2</v>
      </c>
      <c r="D18" s="854">
        <f>IF(ISNUMBER(
   IF(Criterios!B14="SI",(Datos!K18-Datos!U18)/Datos!U18,(Datos!K18+Datos!AE18-(Datos!U18+Datos!AM18))/(Datos!U18+Datos!AM18))
     ),IF(Criterios!B14="SI",(Datos!K18-Datos!U18)/Datos!U18,(Datos!K18+Datos!AE18-(Datos!U18+Datos!AM18))/(Datos!U18+Datos!AM18))," - ")</f>
        <v>1.7964071856287425E-2</v>
      </c>
      <c r="E18" s="854">
        <f>IF(ISNUMBER(
   IF(Criterios!B14="SI",(Datos!L18-Datos!V18)/Datos!V18,(Datos!L18+Datos!AF18-(Datos!V18+Datos!AN18))/(Datos!V18+Datos!AN18))
     ),IF(Criterios!B14="SI",(Datos!L18-Datos!V18)/Datos!V18,(Datos!L18+Datos!AF18-(Datos!V18+Datos!AN18))/(Datos!V18+Datos!AN18))," - ")</f>
        <v>7.407407407407407E-2</v>
      </c>
      <c r="F18" s="855">
        <f>IF(ISNUMBER((Datos!M18-Datos!W18)/Datos!W18),(Datos!M18-Datos!W18)/Datos!W18," - ")</f>
        <v>-0.37142857142857144</v>
      </c>
      <c r="G18" s="856">
        <f>IF(ISNUMBER((Datos!N18-Datos!X18)/Datos!X18),(Datos!N18-Datos!X18)/Datos!X18," - ")</f>
        <v>0.19148936170212766</v>
      </c>
      <c r="H18" s="856">
        <f>IF(ISNUMBER(((NºAsuntos!G18/NºAsuntos!E18)-Datos!BD18)/Datos!BD18),((NºAsuntos!G18/NºAsuntos!E18)-Datos!BD18)/Datos!BD18," - ")</f>
        <v>-7.3652694610778432E-2</v>
      </c>
      <c r="I18" s="856">
        <f>IF(ISNUMBER(((NºAsuntos!I18/NºAsuntos!G18)-Datos!BE18)/Datos!BE18),((NºAsuntos!I18/NºAsuntos!G18)-Datos!BE18)/Datos!BE18," - ")</f>
        <v>5.5119825708061052E-2</v>
      </c>
      <c r="J18" s="856">
        <f>IF(ISNUMBER((('Resol  Asuntos'!D18/NºAsuntos!G18)-Datos!BF18)/Datos!BF18),(('Resol  Asuntos'!D18/NºAsuntos!G18)-Datos!BF18)/Datos!BF18," - ")</f>
        <v>-0.38252100840336123</v>
      </c>
      <c r="K18" s="856">
        <f>IF(ISNUMBER((((NºAsuntos!C18+NºAsuntos!E18)/NºAsuntos!G18)-Datos!BG18)/Datos!BG18),(((NºAsuntos!C18+NºAsuntos!E18)/NºAsuntos!G18)-Datos!BG18)/Datos!BG18," - ")</f>
        <v>-7.0005971931919958E-2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-1.6423357664233577E-2</v>
      </c>
      <c r="C19" s="801">
        <f>IF(ISNUMBER(
   IF(J_V="SI",(Datos!J19-Datos!T19)/Datos!T19,(Datos!J19+Datos!Z19-(Datos!T19+Datos!AH19))/(Datos!T19+Datos!AH19))
     ),IF(J_V="SI",(Datos!J19-Datos!T19)/Datos!T19,(Datos!J19+Datos!Z19-(Datos!T19+Datos!AH19))/(Datos!T19+Datos!AH19))," - ")</f>
        <v>-0.20045045045045046</v>
      </c>
      <c r="D19" s="801">
        <f>IF(ISNUMBER(
   IF(J_V="SI",(Datos!K19-Datos!U19)/Datos!U19,(Datos!K19+Datos!AA19-(Datos!U19+Datos!AI19))/(Datos!U19+Datos!AI19))
     ),IF(J_V="SI",(Datos!K19-Datos!U19)/Datos!U19,(Datos!K19+Datos!AA19-(Datos!U19+Datos!AI19))/(Datos!U19+Datos!AI19))," - ")</f>
        <v>-0.14537444933920704</v>
      </c>
      <c r="E19" s="801">
        <f>IF(ISNUMBER(
   IF(J_V="SI",(Datos!L19-Datos!V19)/Datos!V19,(Datos!L19+Datos!AB19-(Datos!V19+Datos!AJ19))/(Datos!V19+Datos!AJ19))
     ),IF(J_V="SI",(Datos!L19-Datos!V19)/Datos!V19,(Datos!L19+Datos!AB19-(Datos!V19+Datos!AJ19))/(Datos!V19+Datos!AJ19))," - ")</f>
        <v>6.4154786150712836E-2</v>
      </c>
      <c r="F19" s="802">
        <f>IF(ISNUMBER((Datos!M19-Datos!W19)/Datos!W19),(Datos!M19-Datos!W19)/Datos!W19," - ")</f>
        <v>-0.544973544973545</v>
      </c>
      <c r="G19" s="803">
        <f>IF(ISNUMBER((Datos!N19-Datos!X19)/Datos!X19),(Datos!N19-Datos!X19)/Datos!X19," - ")</f>
        <v>0.49079754601226994</v>
      </c>
      <c r="H19" s="804">
        <f>IF(ISNUMBER((Tasas!B19-Datos!BD19)/Datos!BD19),(Tasas!B19-Datos!BD19)/Datos!BD19," - ")</f>
        <v>6.8883787305329874E-2</v>
      </c>
      <c r="I19" s="805">
        <f>IF(ISNUMBER((Tasas!C19-Datos!BE19)/Datos!BE19),(Tasas!C19-Datos!BE19)/Datos!BE19," - ")</f>
        <v>0.24517080647531864</v>
      </c>
      <c r="J19" s="806">
        <f>IF(ISNUMBER((Tasas!D19-Datos!BF19)/Datos!BF19),(Tasas!D19-Datos!BF19)/Datos!BF19," - ")</f>
        <v>-3.2414750198255411E-2</v>
      </c>
      <c r="K19" s="806">
        <f>IF(ISNUMBER((Tasas!E19-Datos!BG19)/Datos!BG19),(Tasas!E19-Datos!BG19)/Datos!BG19," - ")</f>
        <v>8.8803722051144743E-2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2MmQH1HLYwW0n/5/EujByzn2U5w6HfYdMye8Gi9lc3nNTwqzb3ZIuuuHl384CsSZMv71dAe+vxKsx7tmAtJQ==" saltValue="FH8riG4uzwtbSanwSA9v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VILALBA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1.4064516129032258</v>
      </c>
      <c r="C12" s="442">
        <f>IF(ISNUMBER(NºAsuntos!I12/NºAsuntos!G12),NºAsuntos!I12/NºAsuntos!G12," - ")</f>
        <v>3.8623853211009176</v>
      </c>
      <c r="D12" s="443">
        <f>IF(ISNUMBER('Resol  Asuntos'!D12/NºAsuntos!G12),'Resol  Asuntos'!D12/NºAsuntos!G12," - ")</f>
        <v>0.29357798165137616</v>
      </c>
      <c r="E12" s="444">
        <f>IF(ISNUMBER((NºAsuntos!C12+NºAsuntos!E12)/NºAsuntos!G12),(NºAsuntos!C12+NºAsuntos!E12)/NºAsuntos!G12," - ")</f>
        <v>4.8623853211009171</v>
      </c>
      <c r="G12" s="462"/>
    </row>
    <row r="13" spans="1:7" ht="14.25" thickTop="1" thickBot="1">
      <c r="A13" s="847" t="str">
        <f>Datos!A13</f>
        <v>TOTAL</v>
      </c>
      <c r="B13" s="857">
        <f>IF(ISNUMBER(NºAsuntos!G13/NºAsuntos!E13),NºAsuntos!G13/NºAsuntos!E13," - ")</f>
        <v>1.4064516129032258</v>
      </c>
      <c r="C13" s="858">
        <f>IF(ISNUMBER(NºAsuntos!I13/NºAsuntos!G13),NºAsuntos!I13/NºAsuntos!G13," - ")</f>
        <v>3.8623853211009176</v>
      </c>
      <c r="D13" s="859">
        <f>IF(ISNUMBER('Resol  Asuntos'!D13/NºAsuntos!G13),'Resol  Asuntos'!D13/NºAsuntos!G13," - ")</f>
        <v>0.29357798165137616</v>
      </c>
      <c r="E13" s="860">
        <f>IF(ISNUMBER((NºAsuntos!C13+NºAsuntos!E13)/NºAsuntos!G13),(NºAsuntos!C13+NºAsuntos!E13)/NºAsuntos!G13," - ")</f>
        <v>4.8623853211009171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0.88953488372093026</v>
      </c>
      <c r="C16" s="442">
        <f>IF(ISNUMBER(NºAsuntos!I16/NºAsuntos!G16),NºAsuntos!I16/NºAsuntos!G16," - ")</f>
        <v>1.1699346405228759</v>
      </c>
      <c r="D16" s="443">
        <f>IF(ISNUMBER('Resol  Asuntos'!D16/NºAsuntos!G16),'Resol  Asuntos'!D16/NºAsuntos!G16," - ")</f>
        <v>0.1437908496732026</v>
      </c>
      <c r="E16" s="444">
        <f>IF(ISNUMBER((NºAsuntos!C16+NºAsuntos!E16)/NºAsuntos!G16),(NºAsuntos!C16+NºAsuntos!E16)/NºAsuntos!G16," - ")</f>
        <v>2.1699346405228757</v>
      </c>
      <c r="G16" s="462"/>
    </row>
    <row r="17" spans="1:7" ht="21.75" thickBot="1">
      <c r="A17" s="401" t="str">
        <f>Datos!A17</f>
        <v>Jdos. Violencia contra la mujer/Secc Viol. TI.</v>
      </c>
      <c r="B17" s="441">
        <f>IF(ISNUMBER(NºAsuntos!G17/NºAsuntos!E17),NºAsuntos!G17/NºAsuntos!E17," - ")</f>
        <v>0.6071428571428571</v>
      </c>
      <c r="C17" s="442">
        <f>IF(ISNUMBER(NºAsuntos!I17/NºAsuntos!G17),NºAsuntos!I17/NºAsuntos!G17," - ")</f>
        <v>1.411764705882353</v>
      </c>
      <c r="D17" s="443">
        <f>IF(ISNUMBER('Resol  Asuntos'!D17/NºAsuntos!G17),'Resol  Asuntos'!D17/NºAsuntos!G17," - ")</f>
        <v>0</v>
      </c>
      <c r="E17" s="444">
        <f>IF(ISNUMBER((NºAsuntos!C17+NºAsuntos!E17)/NºAsuntos!G17),(NºAsuntos!C17+NºAsuntos!E17)/NºAsuntos!G17," - ")</f>
        <v>2.4117647058823528</v>
      </c>
      <c r="G17" s="462"/>
    </row>
    <row r="18" spans="1:7" ht="14.25" thickTop="1" thickBot="1">
      <c r="A18" s="847" t="str">
        <f>Datos!A18</f>
        <v>TOTAL</v>
      </c>
      <c r="B18" s="857">
        <f>IF(ISNUMBER(NºAsuntos!G18/NºAsuntos!E18),NºAsuntos!G18/NºAsuntos!E18," - ")</f>
        <v>0.85</v>
      </c>
      <c r="C18" s="858">
        <f>IF(ISNUMBER(NºAsuntos!I18/NºAsuntos!G18),NºAsuntos!I18/NºAsuntos!G18," - ")</f>
        <v>1.1941176470588235</v>
      </c>
      <c r="D18" s="861">
        <f>IF(ISNUMBER('Resol  Asuntos'!D18/NºAsuntos!G18),'Resol  Asuntos'!D18/NºAsuntos!G18," - ")</f>
        <v>0.12941176470588237</v>
      </c>
      <c r="E18" s="860">
        <f>IF(ISNUMBER((NºAsuntos!C18+NºAsuntos!E18)/NºAsuntos!G18),(NºAsuntos!C18+NºAsuntos!E18)/NºAsuntos!G18," - ")</f>
        <v>2.1941176470588237</v>
      </c>
      <c r="G18" s="462"/>
    </row>
    <row r="19" spans="1:7" ht="15.75" customHeight="1" thickTop="1" thickBot="1">
      <c r="A19" s="792" t="str">
        <f>Datos!A19</f>
        <v>TOTAL JURISDICCIONES</v>
      </c>
      <c r="B19" s="807">
        <f>IF(ISNUMBER(NºAsuntos!G19/NºAsuntos!E19),NºAsuntos!G19/NºAsuntos!E19," - ")</f>
        <v>1.0929577464788733</v>
      </c>
      <c r="C19" s="808">
        <f>IF(ISNUMBER(NºAsuntos!I19/NºAsuntos!G19),NºAsuntos!I19/NºAsuntos!G19," - ")</f>
        <v>2.6932989690721651</v>
      </c>
      <c r="D19" s="809">
        <f>IF(ISNUMBER('Resol  Asuntos'!D19/NºAsuntos!G19),'Resol  Asuntos'!D19/NºAsuntos!G19," - ")</f>
        <v>0.22164948453608246</v>
      </c>
      <c r="E19" s="810">
        <f>IF(ISNUMBER((NºAsuntos!C19+NºAsuntos!E19)/NºAsuntos!G19),(NºAsuntos!C19+NºAsuntos!E19)/NºAsuntos!G19," - ")</f>
        <v>3.6932989690721651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zujRY8dQncSNadP5Py8yC5ruONYzQIaix8E8K0lx1D1B8tbZe0AGxklbXNPAPE1boZzsg/Jh0iLr6rlnL6WBQ==" saltValue="KdyLJ9xBgXy/D7G2JDv2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1.4064516129032258</v>
      </c>
      <c r="AM12" s="259">
        <f>IF(ISNUMBER(((NºAsuntos!I12/NºAsuntos!G12)*11)/factor_trimestre),((NºAsuntos!I12/NºAsuntos!G12)*11)/factor_trimestre," - ")</f>
        <v>7.7247706422018352</v>
      </c>
      <c r="AN12" s="243">
        <f>IF(ISNUMBER('Resol  Asuntos'!D12/NºAsuntos!G12),'Resol  Asuntos'!D12/NºAsuntos!G12," - ")</f>
        <v>0.29357798165137616</v>
      </c>
      <c r="AO12" s="244">
        <f>IF(ISNUMBER((NºAsuntos!C12+NºAsuntos!E12)/NºAsuntos!G12),(NºAsuntos!C12+NºAsuntos!E12)/NºAsuntos!G12," - ")</f>
        <v>4.8623853211009171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v>
      </c>
      <c r="Y13" s="867">
        <f t="shared" si="4"/>
        <v>6</v>
      </c>
      <c r="Z13" s="867">
        <f t="shared" si="4"/>
        <v>0</v>
      </c>
      <c r="AA13" s="867">
        <f t="shared" si="4"/>
        <v>0</v>
      </c>
      <c r="AB13" s="867">
        <f t="shared" si="4"/>
        <v>1098</v>
      </c>
      <c r="AC13" s="867">
        <f t="shared" si="4"/>
        <v>0</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1.4064516129032258</v>
      </c>
      <c r="AM13" s="873">
        <f>IF(ISNUMBER(((NºAsuntos!I13/NºAsuntos!G13)*11)/factor_trimestre),((NºAsuntos!I13/NºAsuntos!G13)*11)/factor_trimestre," - ")</f>
        <v>7.7247706422018352</v>
      </c>
      <c r="AN13" s="874">
        <f>IF(ISNUMBER('Resol  Asuntos'!D13/NºAsuntos!G13),'Resol  Asuntos'!D13/NºAsuntos!G13," - ")</f>
        <v>0.29357798165137616</v>
      </c>
      <c r="AO13" s="875">
        <f>IF(ISNUMBER((NºAsuntos!C13+NºAsuntos!E13)/NºAsuntos!G13),(NºAsuntos!C13+NºAsuntos!E13)/NºAsuntos!G13," - ")</f>
        <v>4.8623853211009171</v>
      </c>
      <c r="AP13" s="876" t="str">
        <f t="shared" si="2"/>
        <v xml:space="preserve"> - </v>
      </c>
      <c r="AQ13" s="876" t="str">
        <f>IF(ISNUMBER((H13-W13+K13)/(F13)),(H13-W13+K13)/(F13)," - ")</f>
        <v xml:space="preserve"> - </v>
      </c>
      <c r="AR13" s="877">
        <f>IF(ISNUMBER((Datos!P13-Datos!Q13)/(Datos!R13-Datos!P13+Datos!Q13)),(Datos!P13-Datos!Q13)/(Datos!R13-Datos!P13+Datos!Q13)," - ")</f>
        <v>5.7803468208092484E-2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160</v>
      </c>
      <c r="G16" s="332">
        <f>IF(ISNUMBER(IF(D_I="SI",Datos!I16,Datos!I16+Datos!AC16)),IF(D_I="SI",Datos!I16,Datos!I16+Datos!AC16)," - ")</f>
        <v>160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153</v>
      </c>
      <c r="X16" s="225">
        <f>IF(ISNUMBER(Datos!Q16),Datos!Q16," - ")</f>
        <v>2</v>
      </c>
      <c r="Y16" s="333">
        <f t="shared" ref="Y16:Y17" si="7">SUM(W16:X16)</f>
        <v>155</v>
      </c>
      <c r="Z16" s="334" t="str">
        <f>IF(ISNUMBER(Datos!CC16),Datos!CC16," - ")</f>
        <v xml:space="preserve"> - </v>
      </c>
      <c r="AA16" s="331">
        <f>IF(ISNUMBER(IF(D_I="SI",Datos!L16,Datos!L16+Datos!AF16)),IF(D_I="SI",Datos!L16,Datos!L16+Datos!AF16)," - ")</f>
        <v>179</v>
      </c>
      <c r="AB16" s="333">
        <f>IF(ISNUMBER(Datos!R16),Datos!R16," - ")</f>
        <v>26</v>
      </c>
      <c r="AC16" s="333">
        <f t="shared" si="6"/>
        <v>205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0.88953488372093026</v>
      </c>
      <c r="AM16" s="259">
        <f>IF(ISNUMBER(((NºAsuntos!I16/NºAsuntos!G16)*11)/factor_trimestre),((NºAsuntos!I16/NºAsuntos!G16)*11)/factor_trimestre," - ")</f>
        <v>2.3398692810457518</v>
      </c>
      <c r="AN16" s="243">
        <f>IF(ISNUMBER('Resol  Asuntos'!D16/NºAsuntos!G16),'Resol  Asuntos'!D16/NºAsuntos!G16," - ")</f>
        <v>0.1437908496732026</v>
      </c>
      <c r="AO16" s="244">
        <f>IF(ISNUMBER((NºAsuntos!C16+NºAsuntos!E16)/NºAsuntos!G16),(NºAsuntos!C16+NºAsuntos!E16)/NºAsuntos!G16," - ")</f>
        <v>2.1699346405228757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24</v>
      </c>
      <c r="AB17" s="333">
        <f>IF(ISNUMBER(Datos!R17),Datos!R17," - ")</f>
        <v>0</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0.6071428571428571</v>
      </c>
      <c r="AM17" s="259">
        <f>IF(ISNUMBER(((NºAsuntos!I17/NºAsuntos!G17)*11)/factor_trimestre),((NºAsuntos!I17/NºAsuntos!G17)*11)/factor_trimestre," - ")</f>
        <v>2.8235294117647061</v>
      </c>
      <c r="AN17" s="243">
        <f>IF(ISNUMBER('Resol  Asuntos'!D17/NºAsuntos!G17),'Resol  Asuntos'!D17/NºAsuntos!G17," - ")</f>
        <v>0</v>
      </c>
      <c r="AO17" s="244">
        <f>IF(ISNUMBER((NºAsuntos!C17+NºAsuntos!E17)/NºAsuntos!G17),(NºAsuntos!C17+NºAsuntos!E17)/NºAsuntos!G17," - ")</f>
        <v>2.4117647058823528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160</v>
      </c>
      <c r="G18" s="865">
        <f>SUBTOTAL(9,G15:G17)</f>
        <v>173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170</v>
      </c>
      <c r="X18" s="866">
        <f t="shared" si="11"/>
        <v>2</v>
      </c>
      <c r="Y18" s="867">
        <f t="shared" si="11"/>
        <v>172</v>
      </c>
      <c r="Z18" s="867">
        <f t="shared" si="11"/>
        <v>0</v>
      </c>
      <c r="AA18" s="867">
        <f t="shared" si="11"/>
        <v>203</v>
      </c>
      <c r="AB18" s="867">
        <f t="shared" si="11"/>
        <v>26</v>
      </c>
      <c r="AC18" s="867">
        <f t="shared" si="11"/>
        <v>229</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0.85</v>
      </c>
      <c r="AM18" s="873">
        <f>IF(ISNUMBER(((NºAsuntos!I18/NºAsuntos!G18)*11)/factor_trimestre),((NºAsuntos!I18/NºAsuntos!G18)*11)/factor_trimestre," - ")</f>
        <v>2.388235294117647</v>
      </c>
      <c r="AN18" s="874">
        <f>IF(ISNUMBER('Resol  Asuntos'!D18/NºAsuntos!G18),'Resol  Asuntos'!D18/NºAsuntos!G18," - ")</f>
        <v>0.12941176470588237</v>
      </c>
      <c r="AO18" s="875">
        <f>IF(ISNUMBER((NºAsuntos!C18+NºAsuntos!E18)/NºAsuntos!G18),(NºAsuntos!C18+NºAsuntos!E18)/NºAsuntos!G18," - ")</f>
        <v>2.1941176470588237</v>
      </c>
      <c r="AP18" s="876" t="str">
        <f t="shared" si="2"/>
        <v xml:space="preserve"> - </v>
      </c>
      <c r="AQ18" s="876">
        <f>IF(ISNUMBER((H18-W18+K18)/(F18)),(H18-W18+K18)/(F18)," - ")</f>
        <v>-1.0625</v>
      </c>
      <c r="AR18" s="877">
        <f>IF(ISNUMBER((Datos!P18-Datos!Q18)/(Datos!R18-Datos!P18+Datos!Q18)),(Datos!P18-Datos!Q18)/(Datos!R18-Datos!P18+Datos!Q18)," - ")</f>
        <v>0.04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160</v>
      </c>
      <c r="G19" s="820">
        <f t="shared" si="13"/>
        <v>173</v>
      </c>
      <c r="H19" s="819">
        <f t="shared" si="13"/>
        <v>0</v>
      </c>
      <c r="I19" s="821">
        <f t="shared" si="13"/>
        <v>0</v>
      </c>
      <c r="J19" s="821">
        <f t="shared" si="13"/>
        <v>0</v>
      </c>
      <c r="K19" s="880">
        <f t="shared" si="13"/>
        <v>0</v>
      </c>
      <c r="L19" s="821">
        <f t="shared" si="13"/>
        <v>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170</v>
      </c>
      <c r="X19" s="820">
        <f t="shared" si="14"/>
        <v>8</v>
      </c>
      <c r="Y19" s="827">
        <f t="shared" si="14"/>
        <v>178</v>
      </c>
      <c r="Z19" s="827">
        <f t="shared" si="14"/>
        <v>0</v>
      </c>
      <c r="AA19" s="827">
        <f t="shared" si="14"/>
        <v>203</v>
      </c>
      <c r="AB19" s="827">
        <f t="shared" si="14"/>
        <v>1124</v>
      </c>
      <c r="AC19" s="827">
        <f t="shared" si="14"/>
        <v>229</v>
      </c>
      <c r="AD19" s="827">
        <f t="shared" si="14"/>
        <v>0</v>
      </c>
      <c r="AE19" s="829">
        <f t="shared" si="14"/>
        <v>0</v>
      </c>
      <c r="AF19" s="830">
        <f t="shared" si="14"/>
        <v>0</v>
      </c>
      <c r="AG19" s="831">
        <f t="shared" si="14"/>
        <v>0</v>
      </c>
      <c r="AH19" s="829">
        <f t="shared" si="14"/>
        <v>0</v>
      </c>
      <c r="AI19" s="819">
        <f t="shared" si="14"/>
        <v>86</v>
      </c>
      <c r="AJ19" s="819">
        <f t="shared" si="14"/>
        <v>0</v>
      </c>
      <c r="AK19" s="829">
        <f t="shared" si="14"/>
        <v>0</v>
      </c>
      <c r="AL19" s="883">
        <f>IF(ISNUMBER(NºAsuntos!G19/NºAsuntos!E19),NºAsuntos!G19/NºAsuntos!E19," - ")</f>
        <v>1.0929577464788733</v>
      </c>
      <c r="AM19" s="884">
        <f>IF(ISNUMBER(((NºAsuntos!I19/NºAsuntos!G19)*11)/factor_trimestre),((NºAsuntos!I19/NºAsuntos!G19)*11)/factor_trimestre," - ")</f>
        <v>5.3865979381443303</v>
      </c>
      <c r="AN19" s="884">
        <f>IF(ISNUMBER('Resol  Asuntos'!D19/NºAsuntos!G19),'Resol  Asuntos'!D19/NºAsuntos!G19," - ")</f>
        <v>0.22164948453608246</v>
      </c>
      <c r="AO19" s="885">
        <f>IF(ISNUMBER((NºAsuntos!C19+NºAsuntos!E19)/NºAsuntos!G19),(NºAsuntos!C19+NºAsuntos!E19)/NºAsuntos!G19," - ")</f>
        <v>3.6932989690721651</v>
      </c>
      <c r="AP19" s="886" t="str">
        <f t="shared" si="2"/>
        <v xml:space="preserve"> - </v>
      </c>
      <c r="AQ19" s="887">
        <f>IF(OR(ISNUMBER(FIND("01",Criterios!A8,1)),ISNUMBER(FIND("02",Criterios!A8,1)),ISNUMBER(FIND("03",Criterios!A8,1)),ISNUMBER(FIND("04",Criterios!A8,1))),(I19-W19+K19)/(F19-K19),(H19-W19+K19)/(F19-K19))</f>
        <v>-1.0625</v>
      </c>
      <c r="AR19" s="888">
        <f>IF(ISNUMBER((Datos!P19-Datos!Q19)/(Datos!R19-Datos!P19+Datos!Q19)),(Datos!P19-Datos!Q19)/(Datos!R19-Datos!P19+Datos!Q19)," - ")</f>
        <v>5.7384760112888053E-2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92.376043070340131</v>
      </c>
      <c r="G21" s="252">
        <f>IF(ISNUMBER(STDEV(G8:G18)),STDEV(G8:G18),"-")</f>
        <v>89.099382713911098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85.845791976077663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29.083787006967757</v>
      </c>
      <c r="AJ21" s="251">
        <f t="shared" si="18"/>
        <v>0</v>
      </c>
      <c r="AK21" s="253">
        <f t="shared" si="18"/>
        <v>0</v>
      </c>
      <c r="AL21" s="248">
        <f t="shared" si="18"/>
        <v>0.35859165037930474</v>
      </c>
      <c r="AM21" s="249">
        <f t="shared" si="18"/>
        <v>2.8585103020757576</v>
      </c>
      <c r="AN21" s="249">
        <f t="shared" si="18"/>
        <v>0.12425367145167274</v>
      </c>
      <c r="AO21" s="250">
        <f t="shared" si="18"/>
        <v>1.4292551510378781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bBqkrjomXJ0OlwTtMMGhr3W2VYr8PvWJ/NADswXGYZKp5jGA3vpMfxPZk9p9svUtf8+CsCY2nXTwhVjB6Eqxg==" saltValue="k4ICppJj8hCZpuHMY2Oa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VILALBA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-0.58441558441558439</v>
      </c>
      <c r="I12" s="349">
        <f>IF(ISNUMBER((Tasas!C12-Datos!BE12)/Datos!BE12),(Tasas!C12-Datos!BE12)/Datos!BE12," - ")</f>
        <v>0.39786202667838999</v>
      </c>
      <c r="J12" s="348">
        <f>IF(ISNUMBER((Tasas!D12-Datos!BF12)/Datos!BF12),(Tasas!D12-Datos!BF12)/Datos!BF12," - ")</f>
        <v>0.2211142135354342</v>
      </c>
      <c r="K12" s="350">
        <f>IF(ISNUMBER((Tasas!E12-Datos!BG12)/Datos!BG12),(Tasas!E12-Datos!BG12)/Datos!BG12," - ")</f>
        <v>0.21771778983940943</v>
      </c>
      <c r="M12" t="e">
        <f>IF(Monitorios="SI",Datos!CE12,0)</f>
        <v>#REF!</v>
      </c>
      <c r="N12" t="e">
        <f>IF(Monitorios="SI",Datos!CF12,0)</f>
        <v>#REF!</v>
      </c>
      <c r="O12" t="e">
        <f>IF(Monitorios="SI",Datos!CG12,0)</f>
        <v>#REF!</v>
      </c>
      <c r="P12" t="e">
        <f>IF(Monitorios="SI",Datos!CH12,0)</f>
        <v>#REF!</v>
      </c>
      <c r="Q12">
        <f>IF(J_V="SI",0,Datos!AG12)</f>
        <v>28</v>
      </c>
      <c r="R12">
        <f>IF(J_V="SI",0,Datos!AH12)</f>
        <v>13</v>
      </c>
      <c r="S12">
        <f>IF(J_V="SI",0,Datos!AI12)</f>
        <v>19</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-0.58441558441558439</v>
      </c>
      <c r="I13" s="356">
        <f>IF(ISNUMBER((Tasas!C13-Datos!BE13)/Datos!BE13),(Tasas!C13-Datos!BE13)/Datos!BE13," - ")</f>
        <v>0.39786202667838999</v>
      </c>
      <c r="J13" s="354">
        <f>IF(ISNUMBER((Tasas!D13-Datos!BF13)/Datos!BF13),(Tasas!D13-Datos!BF13)/Datos!BF13," - ")</f>
        <v>0.2211142135354342</v>
      </c>
      <c r="K13" s="357">
        <f>IF(ISNUMBER((Tasas!E13-Datos!BG13)/Datos!BG13),(Tasas!E13-Datos!BG13)/Datos!BG13," - ")</f>
        <v>0.21771778983940943</v>
      </c>
      <c r="M13" t="e">
        <f>IF(Monitorios="SI",Datos!CE13,0)</f>
        <v>#REF!</v>
      </c>
      <c r="N13" t="e">
        <f>IF(Monitorios="SI",Datos!CF13,0)</f>
        <v>#REF!</v>
      </c>
      <c r="O13" t="e">
        <f>IF(Monitorios="SI",Datos!CG13,0)</f>
        <v>#REF!</v>
      </c>
      <c r="P13" t="e">
        <f>IF(Monitorios="SI",Datos!CH13,0)</f>
        <v>#REF!</v>
      </c>
      <c r="Q13">
        <f>IF(J_V="SI",0,Datos!AG13)</f>
        <v>28</v>
      </c>
      <c r="R13">
        <f>IF(J_V="SI",0,Datos!AH13)</f>
        <v>13</v>
      </c>
      <c r="S13">
        <f>IF(J_V="SI",0,Datos!AI13)</f>
        <v>19</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-0.22705314009661837</v>
      </c>
      <c r="E16" s="347">
        <f>IF(ISNUMBER(
   IF(D_I="SI",(Datos!J16-Datos!T16)/Datos!T16,(Datos!J16+Datos!AD16-(Datos!T16+Datos!AL16))/(Datos!T16+Datos!AL16))
     ),IF(D_I="SI",(Datos!J16-Datos!T16)/Datos!T16,(Datos!J16+Datos!AD16-(Datos!T16+Datos!AL16))/(Datos!T16+Datos!AL16))," - ")</f>
        <v>2.9940119760479042E-2</v>
      </c>
      <c r="F16" s="347">
        <f>IF(ISNUMBER(
   IF(D_I="SI",(Datos!K16-Datos!U16)/Datos!U16,(Datos!K16+Datos!AE16-(Datos!U16+Datos!AM16))/(Datos!U16+Datos!AM16))
     ),IF(D_I="SI",(Datos!K16-Datos!U16)/Datos!U16,(Datos!K16+Datos!AE16-(Datos!U16+Datos!AM16))/(Datos!U16+Datos!AM16))," - ")</f>
        <v>-1.2903225806451613E-2</v>
      </c>
      <c r="G16" s="348">
        <f>IF(ISNUMBER(
   IF(D_I="SI",(Datos!L16-Datos!V16)/Datos!V16,(Datos!L16+Datos!AF16-(Datos!V16+Datos!AN16))/(Datos!V16+Datos!AN16))
     ),IF(D_I="SI",(Datos!L16-Datos!V16)/Datos!V16,(Datos!L16+Datos!AF16-(Datos!V16+Datos!AN16))/(Datos!V16+Datos!AN16))," - ")</f>
        <v>-1.6483516483516484E-2</v>
      </c>
      <c r="H16" s="229">
        <f>IF(ISNUMBER((Datos!M16-Datos!W16)/Datos!W16),(Datos!M16-Datos!W16)/Datos!W16," - ")</f>
        <v>-0.37142857142857144</v>
      </c>
      <c r="I16" s="349">
        <f>IF(ISNUMBER((Tasas!C16-Datos!BE16)/Datos!BE16),(Tasas!C16-Datos!BE16)/Datos!BE16," - ")</f>
        <v>-3.6270918623858331E-3</v>
      </c>
      <c r="J16" s="348">
        <f>IF(ISNUMBER((Tasas!D16-Datos!BF16)/Datos!BF16),(Tasas!D16-Datos!BF16)/Datos!BF16," - ")</f>
        <v>-0.36321195144724561</v>
      </c>
      <c r="K16" s="350">
        <f>IF(ISNUMBER((Tasas!E16-Datos!BG16)/Datos!BG16),(Tasas!E16-Datos!BG16)/Datos!BG16," - ")</f>
        <v>-0.10069553668169598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1.6</v>
      </c>
      <c r="E17" s="347">
        <f>IF(ISNUMBER(
   IF(D_I="SI",(Datos!J17-Datos!T17)/Datos!T17,(Datos!J17+Datos!AD17-(Datos!T17+Datos!AL17))/(Datos!T17+Datos!AL17))
     ),IF(D_I="SI",(Datos!J17-Datos!T17)/Datos!T17,(Datos!J17+Datos!AD17-(Datos!T17+Datos!AL17))/(Datos!T17+Datos!AL17))," - ")</f>
        <v>0.8666666666666667</v>
      </c>
      <c r="F17" s="347">
        <f>IF(ISNUMBER(
   IF(D_I="SI",(Datos!K17-Datos!U17)/Datos!U17,(Datos!K17+Datos!AE17-(Datos!U17+Datos!AM17))/(Datos!U17+Datos!AM17))
     ),IF(D_I="SI",(Datos!K17-Datos!U17)/Datos!U17,(Datos!K17+Datos!AE17-(Datos!U17+Datos!AM17))/(Datos!U17+Datos!AM17))," - ")</f>
        <v>0.41666666666666669</v>
      </c>
      <c r="G17" s="348">
        <f>IF(ISNUMBER(
   IF(D_I="SI",(Datos!L17-Datos!V17)/Datos!V17,(Datos!L17+Datos!AF17-(Datos!V17+Datos!AN17))/(Datos!V17+Datos!AN17))
     ),IF(D_I="SI",(Datos!L17-Datos!V17)/Datos!V17,(Datos!L17+Datos!AF17-(Datos!V17+Datos!AN17))/(Datos!V17+Datos!AN17))," - ")</f>
        <v>2.4285714285714284</v>
      </c>
      <c r="H17" s="229" t="str">
        <f>IF(ISNUMBER((Datos!M17-Datos!W17)/Datos!W17),(Datos!M17-Datos!W17)/Datos!W17," - ")</f>
        <v xml:space="preserve"> - </v>
      </c>
      <c r="I17" s="349">
        <f>IF(ISNUMBER((Tasas!C17-Datos!BE17)/Datos!BE17),(Tasas!C17-Datos!BE17)/Datos!BE17," - ")</f>
        <v>1.4201680672268908</v>
      </c>
      <c r="J17" s="348" t="str">
        <f>IF(ISNUMBER((Tasas!D17-Datos!BF17)/Datos!BF17),(Tasas!D17-Datos!BF17)/Datos!BF17," - ")</f>
        <v xml:space="preserve"> - </v>
      </c>
      <c r="K17" s="350">
        <f>IF(ISNUMBER((Tasas!E17-Datos!BG17)/Datos!BG17),(Tasas!E17-Datos!BG17)/Datos!BG17," - ")</f>
        <v>0.44705882352941162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-0.18396226415094338</v>
      </c>
      <c r="E18" s="353">
        <f>IF(ISNUMBER(
   IF(D_I="SI",(Datos!J18-Datos!T18)/Datos!T18,(Datos!J18+Datos!AD18-(Datos!T18+Datos!AL18))/(Datos!T18+Datos!AL18))
     ),IF(D_I="SI",(Datos!J18-Datos!T18)/Datos!T18,(Datos!J18+Datos!AD18-(Datos!T18+Datos!AL18))/(Datos!T18+Datos!AL18))," - ")</f>
        <v>9.8901098901098897E-2</v>
      </c>
      <c r="F18" s="353">
        <f>IF(ISNUMBER(
   IF(D_I="SI",(Datos!K18-Datos!U18)/Datos!U18,(Datos!K18+Datos!AE18-(Datos!U18+Datos!AM18))/(Datos!U18+Datos!AM18))
     ),IF(D_I="SI",(Datos!K18-Datos!U18)/Datos!U18,(Datos!K18+Datos!AE18-(Datos!U18+Datos!AM18))/(Datos!U18+Datos!AM18))," - ")</f>
        <v>1.7964071856287425E-2</v>
      </c>
      <c r="G18" s="354">
        <f>IF(ISNUMBER(
   IF(D_I="SI",(Datos!L18-Datos!V18)/Datos!V18,(Datos!L18+Datos!AF18-(Datos!V18+Datos!AN18))/(Datos!V18+Datos!AN18))
     ),IF(D_I="SI",(Datos!L18-Datos!V18)/Datos!V18,(Datos!L18+Datos!AF18-(Datos!V18+Datos!AN18))/(Datos!V18+Datos!AN18))," - ")</f>
        <v>7.407407407407407E-2</v>
      </c>
      <c r="H18" s="355">
        <f>IF(ISNUMBER((Datos!M18-Datos!W18)/Datos!W18),(Datos!M18-Datos!W18)/Datos!W18," - ")</f>
        <v>-0.37142857142857144</v>
      </c>
      <c r="I18" s="356">
        <f>IF(ISNUMBER((Tasas!C18-Datos!BE18)/Datos!BE18),(Tasas!C18-Datos!BE18)/Datos!BE18," - ")</f>
        <v>5.5119825708061052E-2</v>
      </c>
      <c r="J18" s="354">
        <f>IF(ISNUMBER((Tasas!D18-Datos!BF18)/Datos!BF18),(Tasas!D18-Datos!BF18)/Datos!BF18," - ")</f>
        <v>-0.38252100840336123</v>
      </c>
      <c r="K18" s="357">
        <f>IF(ISNUMBER((Tasas!E18-Datos!BG18)/Datos!BG18),(Tasas!E18-Datos!BG18)/Datos!BG18," - ")</f>
        <v>-7.0005971931919958E-2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-1.6423357664233577E-2</v>
      </c>
      <c r="E19" s="362">
        <f>IF(ISNUMBER(
   IF(J_V="SI",(Datos!J19-Datos!T19)/Datos!T19,(Datos!J19+Datos!Z19-(Datos!T19+Datos!AH19))/(Datos!T19+Datos!AH19))
     ),IF(J_V="SI",(Datos!J19-Datos!T19)/Datos!T19,(Datos!J19+Datos!Z19-(Datos!T19+Datos!AH19))/(Datos!T19+Datos!AH19))," - ")</f>
        <v>-0.20045045045045046</v>
      </c>
      <c r="F19" s="362">
        <f>IF(ISNUMBER(
   IF(J_V="SI",(Datos!K19-Datos!U19)/Datos!U19,(Datos!K19+Datos!AA19-(Datos!U19+Datos!AI19))/(Datos!U19+Datos!AI19))
     ),IF(J_V="SI",(Datos!K19-Datos!U19)/Datos!U19,(Datos!K19+Datos!AA19-(Datos!U19+Datos!AI19))/(Datos!U19+Datos!AI19))," - ")</f>
        <v>-0.14537444933920704</v>
      </c>
      <c r="G19" s="363">
        <f>IF(ISNUMBER(
   IF(J_V="SI",(Datos!L19-Datos!V19)/Datos!V19,(Datos!L19+Datos!AB19-(Datos!V19+Datos!AJ19))/(Datos!V19+Datos!AJ19))
     ),IF(J_V="SI",(Datos!L19-Datos!V19)/Datos!V19,(Datos!L19+Datos!AB19-(Datos!V19+Datos!AJ19))/(Datos!V19+Datos!AJ19))," - ")</f>
        <v>6.4154786150712836E-2</v>
      </c>
      <c r="H19" s="364">
        <f>IF(ISNUMBER((Datos!M19-Datos!W19)/Datos!W19),(Datos!M19-Datos!W19)/Datos!W19," - ")</f>
        <v>-0.544973544973545</v>
      </c>
      <c r="I19" s="361">
        <f>IF(ISNUMBER((Tasas!C19-Datos!BE19)/Datos!BE19),(Tasas!C19-Datos!BE19)/Datos!BE19," - ")</f>
        <v>0.24517080647531864</v>
      </c>
      <c r="J19" s="362">
        <f>IF(ISNUMBER((Tasas!D19-Datos!BF19)/Datos!BF19),(Tasas!D19-Datos!BF19)/Datos!BF19," - ")</f>
        <v>-3.2414750198255411E-2</v>
      </c>
      <c r="K19" s="363">
        <f>IF(ISNUMBER((Tasas!E19-Datos!BG19)/Datos!BG19),(Tasas!E19-Datos!BG19)/Datos!BG19," - ")</f>
        <v>8.8803722051144743E-2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1.0426329939342063</v>
      </c>
      <c r="E21" s="277">
        <f t="shared" si="1"/>
        <v>0.46445862714705638</v>
      </c>
      <c r="F21" s="277">
        <f t="shared" si="1"/>
        <v>0.2395992632476486</v>
      </c>
      <c r="G21" s="278">
        <f t="shared" si="1"/>
        <v>1.3862510687630551</v>
      </c>
      <c r="H21" s="284">
        <f t="shared" si="1"/>
        <v>0.12296810928194618</v>
      </c>
      <c r="I21" s="276">
        <f t="shared" si="1"/>
        <v>0.5719069546435378</v>
      </c>
      <c r="J21" s="277">
        <f t="shared" si="1"/>
        <v>0.34302550150310301</v>
      </c>
      <c r="K21" s="278">
        <f t="shared" si="1"/>
        <v>0.22824015092402544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3GbO44OzXH6lYOym/bpmwFrqAqkgNfYCVqOkAXCDq6I02IRXT4igqfTAQ375TDzPFKtMc5nBr8hVrZVPtSYIQ==" saltValue="OkEukVsGJr/WZoU4Dnkx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